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\\dc-fs01\Arquivos\Departamental\RI\RI\Resultados\2025\3TRI\Peças Divulgação\"/>
    </mc:Choice>
  </mc:AlternateContent>
  <xr:revisionPtr revIDLastSave="0" documentId="8_{03EB11EA-0610-4E8D-9419-F3F9FBB95BC0}" xr6:coauthVersionLast="47" xr6:coauthVersionMax="47" xr10:uidLastSave="{00000000-0000-0000-0000-000000000000}"/>
  <bookViews>
    <workbookView xWindow="-108" yWindow="-108" windowWidth="23256" windowHeight="12456" tabRatio="594" firstSheet="3" activeTab="3" xr2:uid="{00000000-000D-0000-FFFF-FFFF00000000}"/>
  </bookViews>
  <sheets>
    <sheet name="BP Price" sheetId="17" state="hidden" r:id="rId1"/>
    <sheet name="DRE Price" sheetId="16" state="hidden" r:id="rId2"/>
    <sheet name="Planilha Hélio" sheetId="14" state="hidden" r:id="rId3"/>
    <sheet name="DRE" sheetId="1" r:id="rId4"/>
    <sheet name="DFC Price" sheetId="18" state="hidden" r:id="rId5"/>
    <sheet name="Balanço Patrimonial" sheetId="3" r:id="rId6"/>
    <sheet name="Fluxo de caixa" sheetId="12" r:id="rId7"/>
    <sheet name="DRE Histórico" sheetId="19" r:id="rId8"/>
  </sheets>
  <externalReferences>
    <externalReference r:id="rId9"/>
  </externalReferences>
  <definedNames>
    <definedName name="\a">#REF!</definedName>
    <definedName name="_1524GLO">#REF!</definedName>
    <definedName name="_214GLO">#REF!</definedName>
    <definedName name="_2539GLO">#REF!</definedName>
    <definedName name="_40GLO">#REF!</definedName>
    <definedName name="_A3">[0]!_p1</definedName>
    <definedName name="_ano08">#REF!</definedName>
    <definedName name="_bsa3">#REF!</definedName>
    <definedName name="_xlnm._FilterDatabase" localSheetId="2" hidden="1">'Planilha Hélio'!$L$99:$L$145</definedName>
    <definedName name="_GoBack" localSheetId="0">'BP Price'!$A$26</definedName>
    <definedName name="_Key1" hidden="1">#REF!</definedName>
    <definedName name="_Key2" hidden="1">#REF!</definedName>
    <definedName name="_key99" hidden="1">#REF!</definedName>
    <definedName name="_MES1">#REF!</definedName>
    <definedName name="_MES2">#REF!</definedName>
    <definedName name="_MES3">#REF!</definedName>
    <definedName name="_MES4">#REF!</definedName>
    <definedName name="_MES5">#REF!</definedName>
    <definedName name="_MES6">#REF!</definedName>
    <definedName name="_od2">#REF!</definedName>
    <definedName name="_OD3">#REF!</definedName>
    <definedName name="_Order1" hidden="1">255</definedName>
    <definedName name="_Order2" hidden="1">0</definedName>
    <definedName name="_PB2">#REF!</definedName>
    <definedName name="_PB3">#REF!</definedName>
    <definedName name="_PB4">#REF!</definedName>
    <definedName name="_PB5">#REF!</definedName>
    <definedName name="_PB6">#REF!</definedName>
    <definedName name="_PB7">#REF!</definedName>
    <definedName name="_PBA2">#REF!</definedName>
    <definedName name="_PBA3">#REF!</definedName>
    <definedName name="_PBA4">#REF!</definedName>
    <definedName name="_PBA5">#REF!</definedName>
    <definedName name="_PBA6">#REF!</definedName>
    <definedName name="_PBA7">#REF!</definedName>
    <definedName name="_PE1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R2">#REF!</definedName>
    <definedName name="_PR3">#REF!</definedName>
    <definedName name="_PR4">#REF!</definedName>
    <definedName name="_PR5">#REF!</definedName>
    <definedName name="_PR6">#REF!</definedName>
    <definedName name="_PR7">#REF!</definedName>
    <definedName name="_PS2">#REF!</definedName>
    <definedName name="_PS3">#REF!</definedName>
    <definedName name="_PS4">#REF!</definedName>
    <definedName name="_PS5">#REF!</definedName>
    <definedName name="_PS6">#REF!</definedName>
    <definedName name="_PS7">#REF!</definedName>
    <definedName name="_R">#REF!</definedName>
    <definedName name="_rad2">#REF!</definedName>
    <definedName name="_rd2">#REF!</definedName>
    <definedName name="_RS1">#REF!</definedName>
    <definedName name="_SC1">#REF!</definedName>
    <definedName name="_Sort" hidden="1">#REF!</definedName>
    <definedName name="_sort1" hidden="1">#REF!</definedName>
    <definedName name="_SP1">#REF!</definedName>
    <definedName name="_TV2">[0]!_p1</definedName>
    <definedName name="A">1</definedName>
    <definedName name="AA">#REF!</definedName>
    <definedName name="aas">#REF!</definedName>
    <definedName name="AB">#REF!</definedName>
    <definedName name="ABGLO">#REF!</definedName>
    <definedName name="Abna">#REF!</definedName>
    <definedName name="abril">#REF!</definedName>
    <definedName name="adriana">#REF!</definedName>
    <definedName name="AEI">[0]!_p1</definedName>
    <definedName name="alameda">#REF!</definedName>
    <definedName name="Aluguel">#REF!</definedName>
    <definedName name="ana">[0]!_p1</definedName>
    <definedName name="Andina">#REF!</definedName>
    <definedName name="AndreBiagi">#REF!</definedName>
    <definedName name="ANDRESSA">#REF!</definedName>
    <definedName name="annnnnnnnnn">#REF!</definedName>
    <definedName name="Ano">#REF!</definedName>
    <definedName name="ÁREA">#REF!</definedName>
    <definedName name="_xlnm.Print_Area" localSheetId="5">'Balanço Patrimonial'!$A$2:$H$68</definedName>
    <definedName name="_xlnm.Print_Area" localSheetId="3">DRE!$A$2:$AJ$53</definedName>
    <definedName name="_xlnm.Print_Area" localSheetId="6">'Fluxo de caixa'!$A$2:$V$77</definedName>
    <definedName name="_xlnm.Print_Area" localSheetId="2">'Planilha Hélio'!$A$47:$L$93</definedName>
    <definedName name="_xlnm.Print_Area">#N/A</definedName>
    <definedName name="Área_impressão_IM">#REF!</definedName>
    <definedName name="AreEstimada">#REF!</definedName>
    <definedName name="AreFEE">#REF!</definedName>
    <definedName name="AreReal">#REF!</definedName>
    <definedName name="asada">#REF!</definedName>
    <definedName name="ASD">#REF!</definedName>
    <definedName name="ASSS">[0]!_p1</definedName>
    <definedName name="ATIVO">'Planilha Hélio'!$A$1:$L$43</definedName>
    <definedName name="ATIVO2">#REF!</definedName>
    <definedName name="AUDGLO">#REF!</definedName>
    <definedName name="B">#REF!</definedName>
    <definedName name="back">#REF!</definedName>
    <definedName name="_xlnm.Database">#REF!</definedName>
    <definedName name="bANDE">[0]!_p1</definedName>
    <definedName name="base">#REF!</definedName>
    <definedName name="base2">#REF!</definedName>
    <definedName name="BAU">#REF!</definedName>
    <definedName name="BBBBBB">[0]!_p1</definedName>
    <definedName name="BFX_A6874CA2_7E1A_11d2_8615_006097CC7F35">60118</definedName>
    <definedName name="BFX_BRANDFX">60122</definedName>
    <definedName name="BH">#REF!</definedName>
    <definedName name="bis">[0]!_p1</definedName>
    <definedName name="boneco">#REF!</definedName>
    <definedName name="borda">#REF!</definedName>
    <definedName name="bt">#REF!</definedName>
    <definedName name="BVO">#REF!</definedName>
    <definedName name="BVR">#REF!</definedName>
    <definedName name="cabo1">#REF!</definedName>
    <definedName name="caboago">#REF!</definedName>
    <definedName name="calça" hidden="1">{"'Janeiro'!$A$1:$I$153"}</definedName>
    <definedName name="CAM">#REF!</definedName>
    <definedName name="campotargest">#REF!</definedName>
    <definedName name="CAP">#REF!</definedName>
    <definedName name="Capanova" hidden="1">#REF!</definedName>
    <definedName name="caras">#REF!</definedName>
    <definedName name="CARLOS">#REF!</definedName>
    <definedName name="CASA">#REF!</definedName>
    <definedName name="CASE">#REF!</definedName>
    <definedName name="cc">#REF!</definedName>
    <definedName name="ccc">#REF!</definedName>
    <definedName name="CCL">#REF!</definedName>
    <definedName name="CEE">#REF!</definedName>
    <definedName name="ceg">#REF!</definedName>
    <definedName name="Cenário">#REF!</definedName>
    <definedName name="CGLO">#REF!</definedName>
    <definedName name="cinco">#REF!</definedName>
    <definedName name="çjk">[0]!_p1</definedName>
    <definedName name="claudia">#REF!</definedName>
    <definedName name="CODGLO">#REF!</definedName>
    <definedName name="CODTERRITORIO">#REF!</definedName>
    <definedName name="commid">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tigo">#REF!</definedName>
    <definedName name="CPMGLO">#REF!</definedName>
    <definedName name="CPPGLO">#REF!</definedName>
    <definedName name="criativa">#REF!</definedName>
    <definedName name="_xlnm.Criteria">#REF!</definedName>
    <definedName name="CUR">#REF!</definedName>
    <definedName name="CURITIBA">[0]!_p1</definedName>
    <definedName name="cutoff">#REF!</definedName>
    <definedName name="D">[0]!_p1</definedName>
    <definedName name="DADD">#REF!</definedName>
    <definedName name="DAN">[0]!_p1</definedName>
    <definedName name="DD">#REF!</definedName>
    <definedName name="DdaHoraPgPerc">#REF!</definedName>
    <definedName name="DDD">#REF!</definedName>
    <definedName name="DDDDDD">#REF!</definedName>
    <definedName name="DEGLO">#REF!</definedName>
    <definedName name="Delta">#REF!</definedName>
    <definedName name="DeltaMORMAII">#REF!</definedName>
    <definedName name="DeltaSEIKO">#REF!</definedName>
    <definedName name="DeltaTECHNOS">#REF!</definedName>
    <definedName name="DeltaTP">#REF!</definedName>
    <definedName name="devers2">#REF!</definedName>
    <definedName name="Dezembro" hidden="1">{"'Janeiro'!$A$1:$I$153"}</definedName>
    <definedName name="DF">#REF!</definedName>
    <definedName name="DFDX">[0]!_p1</definedName>
    <definedName name="DFGXDRH">[0]!_p1</definedName>
    <definedName name="DhAcesAbs">#REF!</definedName>
    <definedName name="DhAcesAbsAcum">#REF!</definedName>
    <definedName name="DhAcesPer">#REF!</definedName>
    <definedName name="DhAcesPerAcum">#REF!</definedName>
    <definedName name="DhAcesPerc">#REF!</definedName>
    <definedName name="DhPgAbs">#REF!</definedName>
    <definedName name="DhPgAbsAcum">#REF!</definedName>
    <definedName name="DhPgPerAcum">#REF!</definedName>
    <definedName name="DhPgPerc">#REF!</definedName>
    <definedName name="DIAGLO">#REF!</definedName>
    <definedName name="DICNOMEBL_Mun">#REF!</definedName>
    <definedName name="DICNOMEBL_UF">#REF!</definedName>
    <definedName name="dinossauro">#REF!</definedName>
    <definedName name="dirj">#REF!</definedName>
    <definedName name="dissidio">#REF!</definedName>
    <definedName name="Distritos">#REF!</definedName>
    <definedName name="Divers">#REF!</definedName>
    <definedName name="DN">[0]!_p1</definedName>
    <definedName name="Doac">#REF!</definedName>
    <definedName name="DocumentDate">#REF!</definedName>
    <definedName name="DocumentYear">#REF!</definedName>
    <definedName name="Dolar100">#REF!</definedName>
    <definedName name="DolarFabric">#REF!</definedName>
    <definedName name="DolarRecof">#REF!</definedName>
    <definedName name="DOMGLO">#REF!</definedName>
    <definedName name="dr">#REF!</definedName>
    <definedName name="DRE">'Planilha Hélio'!$A$95:$L$145</definedName>
    <definedName name="eds">#REF!</definedName>
    <definedName name="EDW">#REF!</definedName>
    <definedName name="ELETROMIDIA">[0]!_p1</definedName>
    <definedName name="eliane">#REF!</definedName>
    <definedName name="ER">[0]!_p1</definedName>
    <definedName name="ESPN">[0]!_p1</definedName>
    <definedName name="estoque">#REF!</definedName>
    <definedName name="EURO">#REF!</definedName>
    <definedName name="EVA10GLO">#REF!</definedName>
    <definedName name="EVA11GLO">#REF!</definedName>
    <definedName name="EVA12GLO">#REF!</definedName>
    <definedName name="EVA13GLO">#REF!</definedName>
    <definedName name="EVA1GLO">#REF!</definedName>
    <definedName name="EVA2GLO">#REF!</definedName>
    <definedName name="EVA3GLO">#REF!</definedName>
    <definedName name="EVA4GLO">#REF!</definedName>
    <definedName name="EVA5GLO">#REF!</definedName>
    <definedName name="EVA6GLO">#REF!</definedName>
    <definedName name="EVA7GLO">#REF!</definedName>
    <definedName name="EVA8GLO">#REF!</definedName>
    <definedName name="EVA9GLO">#REF!</definedName>
    <definedName name="EVCPM10GLO">#REF!</definedName>
    <definedName name="EVCPM11GLO">#REF!</definedName>
    <definedName name="EVCPM12GLO">#REF!</definedName>
    <definedName name="EVCPM13GLO">#REF!</definedName>
    <definedName name="EVCPM1GLO">#REF!</definedName>
    <definedName name="EVCPM2GLO">#REF!</definedName>
    <definedName name="EVCPM3GLO">#REF!</definedName>
    <definedName name="EVCPM4GLO">#REF!</definedName>
    <definedName name="EVCPM5GLO">#REF!</definedName>
    <definedName name="EVCPM6GLO">#REF!</definedName>
    <definedName name="EVCPM7GLO">#REF!</definedName>
    <definedName name="EVCPM8GLO">#REF!</definedName>
    <definedName name="EVCPM9GLO">#REF!</definedName>
    <definedName name="EVP10GLO">#REF!</definedName>
    <definedName name="EVP11GLO">#REF!</definedName>
    <definedName name="EVP12GLO">#REF!</definedName>
    <definedName name="EVP13GLO">#REF!</definedName>
    <definedName name="EVP1GLO">#REF!</definedName>
    <definedName name="EVP2GLO">#REF!</definedName>
    <definedName name="EVP3GLO">#REF!</definedName>
    <definedName name="EVP4GLO">#REF!</definedName>
    <definedName name="EVP5GLO">#REF!</definedName>
    <definedName name="EVP6GLO">#REF!</definedName>
    <definedName name="EVP7GLO">#REF!</definedName>
    <definedName name="EVP8GLO">#REF!</definedName>
    <definedName name="EVP9GLO">#REF!</definedName>
    <definedName name="F" hidden="1">#REF!</definedName>
    <definedName name="Fábio">#REF!</definedName>
    <definedName name="fabioa">#REF!</definedName>
    <definedName name="facafacil">#REF!</definedName>
    <definedName name="fadfasfasdf">[0]!_p1</definedName>
    <definedName name="FASDFASDF">[0]!_p1</definedName>
    <definedName name="FASFADSF">[0]!_p1</definedName>
    <definedName name="FASFASDF">[0]!_p1</definedName>
    <definedName name="FATURA">#REF!</definedName>
    <definedName name="FATURA.1">#REF!</definedName>
    <definedName name="FATURAMENTO">#REF!</definedName>
    <definedName name="fdfadfadsf">[0]!_p1</definedName>
    <definedName name="FDFDF">#REF!</definedName>
    <definedName name="fdhgxd" hidden="1">#REF!</definedName>
    <definedName name="FDSFAF">[0]!_p1</definedName>
    <definedName name="fff">#REF!</definedName>
    <definedName name="fg">#REF!</definedName>
    <definedName name="fgh">#REF!</definedName>
    <definedName name="FILTROBL_Mun">#REF!</definedName>
    <definedName name="FILTROBL_UF">#REF!</definedName>
    <definedName name="Fisicos">#REF!</definedName>
    <definedName name="Formulário">#REF!</definedName>
    <definedName name="fr">#REF!</definedName>
    <definedName name="Franquias">#REF!</definedName>
    <definedName name="fsfsdfsf">#REF!</definedName>
    <definedName name="FW">#REF!</definedName>
    <definedName name="FXHOR0718">#REF!</definedName>
    <definedName name="FXHOR1824">#REF!</definedName>
    <definedName name="G" hidden="1">#REF!</definedName>
    <definedName name="GENGLO">#REF!</definedName>
    <definedName name="GER">#REF!</definedName>
    <definedName name="Geral">#REF!</definedName>
    <definedName name="gestores">#REF!+#REF!</definedName>
    <definedName name="ggg">[0]!_p1</definedName>
    <definedName name="GNDFNGL">#REF!</definedName>
    <definedName name="gr">#REF!</definedName>
    <definedName name="grp">#REF!,#REF!,#REF!,#REF!,#REF!</definedName>
    <definedName name="grupo1">#REF!</definedName>
    <definedName name="grupo2">#REF!</definedName>
    <definedName name="grupo3">#REF!</definedName>
    <definedName name="Grupos">#REF!</definedName>
    <definedName name="GYFTHJYJ">#REF!</definedName>
    <definedName name="HGLO">#REF!</definedName>
    <definedName name="hkç">#REF!</definedName>
    <definedName name="HORGLO">#REF!</definedName>
    <definedName name="HTML_CodePage" hidden="1">1252</definedName>
    <definedName name="HTML_Control" hidden="1">{"'RR'!$A$2:$E$81"}</definedName>
    <definedName name="HTML_Description" hidden="1">""</definedName>
    <definedName name="HTML_Email" hidden="1">""</definedName>
    <definedName name="HTML_Header" hidden="1">"ini"</definedName>
    <definedName name="HTML_LastUpdate" hidden="1">"6/03/98"</definedName>
    <definedName name="HTML_LineAfter" hidden="1">FALSE</definedName>
    <definedName name="HTML_LineBefore" hidden="1">FALSE</definedName>
    <definedName name="HTML_Name" hidden="1">"C.S.N"</definedName>
    <definedName name="HTML_OBDlg2" hidden="1">TRUE</definedName>
    <definedName name="HTML_OBDlg4" hidden="1">TRUE</definedName>
    <definedName name="HTML_OS" hidden="1">0</definedName>
    <definedName name="HTML_PathFile" hidden="1">"C:\TRAB\downl\MeuHTML.htm"</definedName>
    <definedName name="HTML_Title" hidden="1">"inix"</definedName>
    <definedName name="HTML1_1" hidden="1">"[map.xls]Plan1!$A$1:$B$8"</definedName>
    <definedName name="HTML1_10" hidden="1">""</definedName>
    <definedName name="HTML1_11" hidden="1">1</definedName>
    <definedName name="HTML1_12" hidden="1">"C:\MyHTML.htm"</definedName>
    <definedName name="HTML1_2" hidden="1">1</definedName>
    <definedName name="HTML1_3" hidden="1">"map"</definedName>
    <definedName name="HTML1_4" hidden="1">"Plan1"</definedName>
    <definedName name="HTML1_5" hidden="1">""</definedName>
    <definedName name="HTML1_6" hidden="1">-4146</definedName>
    <definedName name="HTML1_7" hidden="1">-4146</definedName>
    <definedName name="HTML1_8" hidden="1">"16/02/98"</definedName>
    <definedName name="HTML1_9" hidden="1">"C.S.N"</definedName>
    <definedName name="HTMLCount" hidden="1">1</definedName>
    <definedName name="I">#REF!</definedName>
    <definedName name="ihhyu">#REF!</definedName>
    <definedName name="ImpMdb">#REF!</definedName>
    <definedName name="IMPRESSÃO">#REF!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>#REF!</definedName>
    <definedName name="ImprimePrevisto">#REF!</definedName>
    <definedName name="ImprimeRealizado">#REF!</definedName>
    <definedName name="ImprimeSaldo">#REF!</definedName>
    <definedName name="IMPRIMIRMAPA">#REF!</definedName>
    <definedName name="imprimirmidia">#REF!</definedName>
    <definedName name="inclusão_de_novos_campos">#REF!</definedName>
    <definedName name="IndConGlo">#REF!</definedName>
    <definedName name="Informativos">#REF!</definedName>
    <definedName name="INSERÇÃO">#REF!,#REF!,#REF!,#REF!,#REF!,#REF!,#REF!,#REF!,#REF!,#REF!,#REF!,#REF!</definedName>
    <definedName name="INTERIOR">#REF!</definedName>
    <definedName name="internet2">[0]!_p1</definedName>
    <definedName name="IO">[0]!_p1</definedName>
    <definedName name="IPCA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40617.9442939815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stoe">#REF!</definedName>
    <definedName name="J">#REF!</definedName>
    <definedName name="Jan_Estim">#REF!</definedName>
    <definedName name="Janeiro" hidden="1">{"'Janeiro'!$A$1:$I$153"}</definedName>
    <definedName name="joao">#REF!</definedName>
    <definedName name="JOES">#REF!</definedName>
    <definedName name="Jornal" hidden="1">{"'Tnet  Dnet_15_Mn1000'!$A$8:$F$178"}</definedName>
    <definedName name="Jornas">#REF!</definedName>
    <definedName name="Julho">[0]!_p1</definedName>
    <definedName name="K">[0]!_p1</definedName>
    <definedName name="KITZELIA.KITZELIA">#REF!</definedName>
    <definedName name="KKKKK">#REF!</definedName>
    <definedName name="koo">#REF!</definedName>
    <definedName name="ld" hidden="1">#REF!</definedName>
    <definedName name="Limite">[0]!_p1</definedName>
    <definedName name="limite2">[0]!_p1</definedName>
    <definedName name="localidades">#REF!</definedName>
    <definedName name="Lojas">#REF!</definedName>
    <definedName name="LUIZ">#REF!</definedName>
    <definedName name="m">[0]!_p1</definedName>
    <definedName name="MajorHeader">#REF!</definedName>
    <definedName name="manequim">#REF!</definedName>
    <definedName name="marieclaire">#REF!</definedName>
    <definedName name="mark">#REF!</definedName>
    <definedName name="marketing">#REF!</definedName>
    <definedName name="Marylena">#REF!</definedName>
    <definedName name="mb">#REF!</definedName>
    <definedName name="media">#REF!</definedName>
    <definedName name="merc">#REF!</definedName>
    <definedName name="merch">#REF!</definedName>
    <definedName name="Merchandising">[0]!_p1</definedName>
    <definedName name="MESACUMULADO">#REF!</definedName>
    <definedName name="Meses">#REF!</definedName>
    <definedName name="MGLO">#REF!</definedName>
    <definedName name="MÍDIAEXTERIORjan">[0]!_p1</definedName>
    <definedName name="MKT">#REF!</definedName>
    <definedName name="MKTGROSSUP">#REF!</definedName>
    <definedName name="MM" hidden="1">{"'Tnet  Dnet_15_Mn1000'!$A$8:$F$178"}</definedName>
    <definedName name="mmm" hidden="1">#REF!</definedName>
    <definedName name="MOB.URBANO">#REF!</definedName>
    <definedName name="MOBILIÁRIO">#REF!</definedName>
    <definedName name="modamoldes">#REF!</definedName>
    <definedName name="Moeda">#REF!</definedName>
    <definedName name="Mun">#REF!</definedName>
    <definedName name="MUR">[0]!_p1</definedName>
    <definedName name="N" hidden="1">#REF!</definedName>
    <definedName name="neide" hidden="1">{"'Janeiro'!$A$1:$I$153"}</definedName>
    <definedName name="NMGLO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rth">#REF!</definedName>
    <definedName name="nova">#REF!</definedName>
    <definedName name="novo">#REF!</definedName>
    <definedName name="NRB">[0]!_p1</definedName>
    <definedName name="NUMERODEORDEM">#REF!</definedName>
    <definedName name="NUMGLO">#REF!</definedName>
    <definedName name="NvsASD">"V2001-01-31"</definedName>
    <definedName name="NvsAutoDrillOk">"VN"</definedName>
    <definedName name="NvsElapsedTime">0.00138020833401242</definedName>
    <definedName name="NvsEndTime">36952.6638362267</definedName>
    <definedName name="NvsInstSpec">"%"</definedName>
    <definedName name="NvsLayoutType">"M3"</definedName>
    <definedName name="NvsPanelEffdt">"V1990-01-01"</definedName>
    <definedName name="NvsPanelSetid">"VMODEL"</definedName>
    <definedName name="NvsReqBU">"VTEL"</definedName>
    <definedName name="NvsReqBUOnly">"VN"</definedName>
    <definedName name="NvsTransLed">"VN"</definedName>
    <definedName name="NvsTreeASD">"V2050-01-01"</definedName>
    <definedName name="NvsValTbl.ACCOUNT">"GL_ACCOUNT_TBL"</definedName>
    <definedName name="NvsValTbl.BU_ATIVIDADE">"BU_ATIVIDADE"</definedName>
    <definedName name="NvsValTbl.BUSINESS_UNIT">"BUS_UNIT_TBL_GL"</definedName>
    <definedName name="O">#REF!</definedName>
    <definedName name="oi" hidden="1">{"'Tnet  Dnet_15_Mn1000'!$A$8:$F$178"}</definedName>
    <definedName name="ok">#REF!</definedName>
    <definedName name="OKK">#REF!</definedName>
    <definedName name="okokok">[0]!_p1</definedName>
    <definedName name="ORDEMTERRITORIO">#REF!</definedName>
    <definedName name="out">#REF!</definedName>
    <definedName name="Out_96">#REF!</definedName>
    <definedName name="P">#REF!</definedName>
    <definedName name="painel">#REF!</definedName>
    <definedName name="PARGLO">#REF!</definedName>
    <definedName name="Participação">#REF!</definedName>
    <definedName name="PASSIVO">'Planilha Hélio'!$A$47:$L$93</definedName>
    <definedName name="PASSIVO2">#REF!</definedName>
    <definedName name="patroc">#REF!</definedName>
    <definedName name="patrocGlo">#REF!</definedName>
    <definedName name="PB">#REF!</definedName>
    <definedName name="PBA">#REF!</definedName>
    <definedName name="pegn">#REF!</definedName>
    <definedName name="perfilglobo">#REF!</definedName>
    <definedName name="PGLO">#REF!</definedName>
    <definedName name="plan" hidden="1">{"'Tnet  Dnet_15_Mn1000'!$A$8:$F$178"}</definedName>
    <definedName name="PLAN_A6874CA2_7E1A_11d2_8615_006097CC7F35">#REF!</definedName>
    <definedName name="PLAN_BRANDFX">#REF!</definedName>
    <definedName name="Planeador">#REF!</definedName>
    <definedName name="playboy">#REF!</definedName>
    <definedName name="PLR">#REF!</definedName>
    <definedName name="Pontos___Email">#REF!</definedName>
    <definedName name="popopo">#REF!</definedName>
    <definedName name="Pós">[0]!_p1</definedName>
    <definedName name="pr">#REF!</definedName>
    <definedName name="praç">#REF!</definedName>
    <definedName name="praça">#REF!</definedName>
    <definedName name="pracas_03">#REF!</definedName>
    <definedName name="Pré2">[0]!_p1</definedName>
    <definedName name="PRGLO">#REF!</definedName>
    <definedName name="Print">#REF!</definedName>
    <definedName name="Print_Area_MI">#REF!</definedName>
    <definedName name="PROGRAMAS">#REF!</definedName>
    <definedName name="PRP">#REF!</definedName>
    <definedName name="PS">#REF!</definedName>
    <definedName name="PUs">#REF!</definedName>
    <definedName name="qe">#REF!</definedName>
    <definedName name="qr">#REF!</definedName>
    <definedName name="qw">#REF!</definedName>
    <definedName name="rad">#REF!</definedName>
    <definedName name="Radio">#REF!</definedName>
    <definedName name="RÁDIO_PROGRAMAÇÃO_RECOMENDADA_60">#REF!</definedName>
    <definedName name="RADIO2">#REF!</definedName>
    <definedName name="radiodilema">#REF!</definedName>
    <definedName name="radiofmam">#REF!</definedName>
    <definedName name="RadioSP">#REF!</definedName>
    <definedName name="rafa">#REF!</definedName>
    <definedName name="rdcontrato">[0]!_p1</definedName>
    <definedName name="rdcontratos" hidden="1">{"'Janeiro'!$A$1:$I$153"}</definedName>
    <definedName name="rdio2">#REF!</definedName>
    <definedName name="rdj">#REF!</definedName>
    <definedName name="Real100">#REF!</definedName>
    <definedName name="RealFabric">#REF!</definedName>
    <definedName name="RealRecof">#REF!</definedName>
    <definedName name="Região">#REF!</definedName>
    <definedName name="RELAÇÃO">#REF!</definedName>
    <definedName name="RESUMO">#REF!</definedName>
    <definedName name="rev">#REF!</definedName>
    <definedName name="revista" hidden="1">{"'Tnet  Dnet_15_Mn1000'!$A$8:$F$178"}</definedName>
    <definedName name="revistas">#REF!</definedName>
    <definedName name="ri">#REF!</definedName>
    <definedName name="RIB">#REF!</definedName>
    <definedName name="RJ">#REF!</definedName>
    <definedName name="rqfasfmasklfkçlas">[0]!_p1</definedName>
    <definedName name="rt">#REF!</definedName>
    <definedName name="rtyhdfg">[0]!_p1</definedName>
    <definedName name="rv">#REF!</definedName>
    <definedName name="s">#REF!</definedName>
    <definedName name="s\ffew">#REF!</definedName>
    <definedName name="SAD">#REF!</definedName>
    <definedName name="safw">#REF!</definedName>
    <definedName name="SAL">#REF!</definedName>
    <definedName name="SAN">#REF!</definedName>
    <definedName name="Sandra">#REF!</definedName>
    <definedName name="sc">#REF!</definedName>
    <definedName name="SCA">#REF!</definedName>
    <definedName name="Score">#REF!</definedName>
    <definedName name="sd">[0]!_p1</definedName>
    <definedName name="sdas" hidden="1">[0]!_p1</definedName>
    <definedName name="SGASDFGASDF">#REF!</definedName>
    <definedName name="SHIRLEY">#REF!</definedName>
    <definedName name="SHIRLEYR">#REF!</definedName>
    <definedName name="sim">#REF!</definedName>
    <definedName name="Sispec">#REF!</definedName>
    <definedName name="Sispec00">#REF!</definedName>
    <definedName name="Sispec98">#REF!</definedName>
    <definedName name="Sispec99">#REF!</definedName>
    <definedName name="SispecPSAP">#REF!</definedName>
    <definedName name="SJC">#REF!</definedName>
    <definedName name="SJR">#REF!</definedName>
    <definedName name="SOR">#REF!</definedName>
    <definedName name="South">#REF!</definedName>
    <definedName name="SP">#REF!</definedName>
    <definedName name="ss" hidden="1">{"'RR'!$A$2:$E$81"}</definedName>
    <definedName name="ssd">#REF!</definedName>
    <definedName name="SU">#REF!</definedName>
    <definedName name="Sudeste">[0]!_p1</definedName>
    <definedName name="super">#REF!</definedName>
    <definedName name="SUPPLEMT">#REF!</definedName>
    <definedName name="t">#REF!</definedName>
    <definedName name="Tab.Participação">#REF!</definedName>
    <definedName name="Tabela">#REF!</definedName>
    <definedName name="tabelatab">#REF!</definedName>
    <definedName name="TabEmp">#REF!</definedName>
    <definedName name="TabImport">#REF!</definedName>
    <definedName name="TabMeses">#REF!</definedName>
    <definedName name="TabPer">#REF!</definedName>
    <definedName name="TabUF">#REF!</definedName>
    <definedName name="TECHNOS_S.A.">#REF!</definedName>
    <definedName name="TELGLO">#REF!</definedName>
    <definedName name="test" hidden="1">{"'Tnet  Dnet_15_Mn1000'!$A$8:$F$178"}</definedName>
    <definedName name="teste">#REF!</definedName>
    <definedName name="TESTE1">#REF!</definedName>
    <definedName name="TIPO">#REF!</definedName>
    <definedName name="TIPO_PTO">#REF!</definedName>
    <definedName name="_xlnm.Print_Titles" localSheetId="6">'Fluxo de caixa'!$2:$2</definedName>
    <definedName name="Todas_as_pendencias">#REF!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cenário">#REF!</definedName>
    <definedName name="trad">#REF!</definedName>
    <definedName name="trem">[0]!_p1</definedName>
    <definedName name="tt">#REF!</definedName>
    <definedName name="TTT" hidden="1">#REF!</definedName>
    <definedName name="TTTT">#REF!</definedName>
    <definedName name="tv">[0]!_p1</definedName>
    <definedName name="ty">#REF!</definedName>
    <definedName name="UYOIO">[0]!_p1</definedName>
    <definedName name="valo">#REF!</definedName>
    <definedName name="VALOR">#REF!</definedName>
    <definedName name="veja">#REF!</definedName>
    <definedName name="vr">#REF!</definedName>
    <definedName name="vrt">#REF!</definedName>
    <definedName name="WeekNumbers">#REF!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hidden="1">{"1DhPgAbs",#N/A,FALSE,"dHora";"2DhPgPerc",#N/A,FALSE,"dHora";"3DhPgAbsAcum",#N/A,FALSE,"dHora"}</definedName>
    <definedName name="wsfesgfef">#REF!</definedName>
    <definedName name="x">#REF!</definedName>
    <definedName name="xx">#REF!</definedName>
    <definedName name="XXX">#REF!</definedName>
    <definedName name="yusguygwiuwhedw">#REF!</definedName>
    <definedName name="ZNB">[0]!_p1</definedName>
    <definedName name="ZZZ">[0]!_p1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9" i="12" l="1"/>
  <c r="T57" i="12"/>
  <c r="T55" i="12"/>
  <c r="T53" i="12"/>
  <c r="T52" i="12"/>
  <c r="T50" i="12"/>
  <c r="T49" i="12"/>
  <c r="T45" i="12"/>
  <c r="T44" i="12"/>
  <c r="T43" i="12"/>
  <c r="T42" i="12"/>
  <c r="T34" i="12"/>
  <c r="T33" i="12"/>
  <c r="T32" i="12"/>
  <c r="T31" i="12"/>
  <c r="T30" i="12"/>
  <c r="T29" i="12"/>
  <c r="T28" i="12"/>
  <c r="T27" i="12"/>
  <c r="T26" i="12"/>
  <c r="T22" i="12"/>
  <c r="T20" i="12"/>
  <c r="T19" i="12"/>
  <c r="T18" i="12"/>
  <c r="T17" i="12"/>
  <c r="T14" i="12"/>
  <c r="T13" i="12"/>
  <c r="T12" i="12"/>
  <c r="T11" i="12"/>
  <c r="T10" i="12"/>
  <c r="T9" i="12"/>
  <c r="T8" i="12"/>
  <c r="T6" i="12"/>
  <c r="T4" i="12"/>
  <c r="AH18" i="1"/>
  <c r="AH13" i="1"/>
  <c r="F6" i="3"/>
  <c r="F5" i="3"/>
  <c r="F64" i="3" l="1"/>
  <c r="F63" i="3"/>
  <c r="F61" i="3"/>
  <c r="F60" i="3"/>
  <c r="F59" i="3"/>
  <c r="F58" i="3"/>
  <c r="F57" i="3"/>
  <c r="F56" i="3"/>
  <c r="F52" i="3"/>
  <c r="F51" i="3"/>
  <c r="F50" i="3"/>
  <c r="F49" i="3"/>
  <c r="F48" i="3"/>
  <c r="F47" i="3"/>
  <c r="F46" i="3"/>
  <c r="F45" i="3"/>
  <c r="F44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5" i="3"/>
  <c r="F24" i="3"/>
  <c r="F22" i="3"/>
  <c r="F21" i="3"/>
  <c r="F20" i="3"/>
  <c r="F19" i="3"/>
  <c r="F18" i="3"/>
  <c r="F14" i="3"/>
  <c r="F13" i="3"/>
  <c r="F12" i="3"/>
  <c r="F11" i="3"/>
  <c r="F10" i="3"/>
  <c r="F9" i="3"/>
  <c r="F8" i="3"/>
  <c r="T63" i="12"/>
  <c r="L52" i="12"/>
  <c r="L50" i="12"/>
  <c r="L49" i="12"/>
  <c r="L45" i="12"/>
  <c r="L44" i="12"/>
  <c r="L43" i="12"/>
  <c r="L42" i="12"/>
  <c r="L34" i="12"/>
  <c r="L33" i="12"/>
  <c r="L31" i="12"/>
  <c r="L30" i="12"/>
  <c r="L28" i="12"/>
  <c r="L27" i="12"/>
  <c r="L26" i="12"/>
  <c r="L22" i="12"/>
  <c r="L20" i="12"/>
  <c r="L19" i="12"/>
  <c r="L18" i="12"/>
  <c r="L11" i="12"/>
  <c r="L10" i="12"/>
  <c r="L9" i="12"/>
  <c r="L8" i="12"/>
  <c r="L4" i="12"/>
  <c r="L51" i="12"/>
  <c r="L53" i="12"/>
  <c r="L54" i="12"/>
  <c r="L55" i="12"/>
  <c r="L56" i="12"/>
  <c r="L57" i="12"/>
  <c r="L58" i="12"/>
  <c r="L59" i="12"/>
  <c r="L39" i="12"/>
  <c r="L40" i="12"/>
  <c r="L41" i="12"/>
  <c r="L46" i="12"/>
  <c r="L38" i="12"/>
  <c r="L29" i="12"/>
  <c r="L32" i="12"/>
  <c r="L35" i="12"/>
  <c r="L25" i="12"/>
  <c r="L21" i="12"/>
  <c r="L7" i="12"/>
  <c r="L12" i="12"/>
  <c r="L13" i="12"/>
  <c r="L14" i="12"/>
  <c r="L15" i="12"/>
  <c r="L16" i="12"/>
  <c r="L17" i="12"/>
  <c r="L6" i="12"/>
  <c r="S50" i="12"/>
  <c r="S51" i="12"/>
  <c r="S52" i="12"/>
  <c r="S53" i="12"/>
  <c r="S54" i="12"/>
  <c r="S55" i="12"/>
  <c r="S56" i="12"/>
  <c r="S57" i="12"/>
  <c r="S58" i="12"/>
  <c r="S59" i="12"/>
  <c r="S49" i="12"/>
  <c r="S46" i="12"/>
  <c r="S39" i="12"/>
  <c r="S40" i="12"/>
  <c r="S41" i="12"/>
  <c r="S42" i="12"/>
  <c r="S43" i="12"/>
  <c r="S44" i="12"/>
  <c r="S45" i="12"/>
  <c r="S38" i="12"/>
  <c r="S26" i="12"/>
  <c r="S27" i="12"/>
  <c r="S28" i="12"/>
  <c r="S29" i="12"/>
  <c r="S30" i="12"/>
  <c r="S31" i="12"/>
  <c r="S32" i="12"/>
  <c r="S33" i="12"/>
  <c r="S34" i="12"/>
  <c r="S35" i="12"/>
  <c r="S25" i="12"/>
  <c r="S19" i="12"/>
  <c r="S20" i="12"/>
  <c r="S21" i="12"/>
  <c r="S22" i="12"/>
  <c r="S7" i="12"/>
  <c r="S8" i="12"/>
  <c r="S9" i="12"/>
  <c r="S10" i="12"/>
  <c r="S11" i="12"/>
  <c r="S12" i="12"/>
  <c r="S13" i="12"/>
  <c r="S14" i="12"/>
  <c r="S15" i="12"/>
  <c r="S16" i="12"/>
  <c r="S17" i="12"/>
  <c r="S18" i="12"/>
  <c r="S6" i="12"/>
  <c r="S4" i="12"/>
  <c r="L63" i="12"/>
  <c r="E68" i="3"/>
  <c r="L47" i="12" l="1"/>
  <c r="L60" i="12"/>
  <c r="L23" i="12"/>
  <c r="L36" i="12" s="1"/>
  <c r="L61" i="12" s="1"/>
  <c r="L65" i="12" s="1"/>
  <c r="AG46" i="1"/>
  <c r="AG47" i="1"/>
  <c r="AG48" i="1"/>
  <c r="AG49" i="1"/>
  <c r="AG50" i="1"/>
  <c r="AG45" i="1"/>
  <c r="AG39" i="1"/>
  <c r="AG40" i="1"/>
  <c r="AG41" i="1"/>
  <c r="AG42" i="1"/>
  <c r="AG43" i="1"/>
  <c r="AG38" i="1"/>
  <c r="AG32" i="1"/>
  <c r="AG31" i="1"/>
  <c r="AG26" i="1"/>
  <c r="AG25" i="1"/>
  <c r="AG21" i="1"/>
  <c r="AG18" i="1"/>
  <c r="AH9" i="1"/>
  <c r="AG9" i="1"/>
  <c r="AG6" i="1"/>
  <c r="AG5" i="1"/>
  <c r="AG4" i="1"/>
  <c r="AG3" i="1"/>
  <c r="Z10" i="1"/>
  <c r="Z9" i="1"/>
  <c r="Z18" i="1"/>
  <c r="Z19" i="1" l="1"/>
  <c r="AA14" i="1"/>
  <c r="AA48" i="1"/>
  <c r="AA49" i="1"/>
  <c r="AA31" i="1"/>
  <c r="AA42" i="1"/>
  <c r="Z33" i="1"/>
  <c r="Z27" i="1"/>
  <c r="AH51" i="1"/>
  <c r="AH50" i="1"/>
  <c r="AH49" i="1"/>
  <c r="AH47" i="1"/>
  <c r="AH46" i="1"/>
  <c r="AH45" i="1"/>
  <c r="AH43" i="1"/>
  <c r="AH42" i="1"/>
  <c r="AH41" i="1"/>
  <c r="AH40" i="1"/>
  <c r="AH39" i="1"/>
  <c r="AH38" i="1"/>
  <c r="AH32" i="1"/>
  <c r="AH31" i="1"/>
  <c r="AH26" i="1"/>
  <c r="AH25" i="1"/>
  <c r="AH21" i="1"/>
  <c r="AH33" i="1" l="1"/>
  <c r="AG13" i="1" l="1"/>
  <c r="Z13" i="1" l="1"/>
  <c r="Z23" i="1" l="1"/>
  <c r="Z16" i="1"/>
  <c r="Z29" i="1"/>
  <c r="Z35" i="1" s="1"/>
  <c r="Z36" i="1" l="1"/>
  <c r="Z44" i="1"/>
  <c r="Z52" i="1" s="1"/>
  <c r="T23" i="12"/>
  <c r="T36" i="12" s="1"/>
  <c r="T47" i="12"/>
  <c r="Z53" i="1" l="1"/>
  <c r="F26" i="3"/>
  <c r="F54" i="3"/>
  <c r="F65" i="3" l="1"/>
  <c r="G63" i="12" l="1"/>
  <c r="S23" i="12" l="1"/>
  <c r="E26" i="3" l="1"/>
  <c r="E54" i="3"/>
  <c r="E65" i="3"/>
  <c r="E67" i="3" l="1"/>
  <c r="V33" i="1" l="1"/>
  <c r="V27" i="1"/>
  <c r="V23" i="1"/>
  <c r="V19" i="1"/>
  <c r="V16" i="1"/>
  <c r="AG27" i="1"/>
  <c r="AG51" i="1"/>
  <c r="AG14" i="1"/>
  <c r="AH3" i="1"/>
  <c r="V29" i="1" l="1"/>
  <c r="V35" i="1" s="1"/>
  <c r="V44" i="1" s="1"/>
  <c r="V52" i="1" s="1"/>
  <c r="D60" i="12"/>
  <c r="D47" i="12"/>
  <c r="D36" i="12"/>
  <c r="D61" i="12" s="1"/>
  <c r="D65" i="12" s="1"/>
  <c r="D23" i="12"/>
  <c r="V36" i="1" l="1"/>
  <c r="V53" i="1"/>
  <c r="T46" i="12"/>
  <c r="T60" i="12" l="1"/>
  <c r="T61" i="12" l="1"/>
  <c r="T65" i="12" l="1"/>
  <c r="N53" i="19"/>
  <c r="R27" i="1" l="1"/>
  <c r="AH27" i="1" l="1"/>
  <c r="X53" i="1"/>
  <c r="X52" i="1"/>
  <c r="W52" i="1"/>
  <c r="X51" i="1"/>
  <c r="W51" i="1"/>
  <c r="X50" i="1"/>
  <c r="W50" i="1"/>
  <c r="X49" i="1"/>
  <c r="W49" i="1"/>
  <c r="X48" i="1"/>
  <c r="W48" i="1"/>
  <c r="X47" i="1"/>
  <c r="W47" i="1"/>
  <c r="X46" i="1"/>
  <c r="W46" i="1"/>
  <c r="X45" i="1"/>
  <c r="W45" i="1"/>
  <c r="X44" i="1"/>
  <c r="W44" i="1"/>
  <c r="X43" i="1"/>
  <c r="W43" i="1"/>
  <c r="X42" i="1"/>
  <c r="W42" i="1"/>
  <c r="X41" i="1"/>
  <c r="W41" i="1"/>
  <c r="X40" i="1"/>
  <c r="W40" i="1"/>
  <c r="X39" i="1"/>
  <c r="W39" i="1"/>
  <c r="X38" i="1"/>
  <c r="W38" i="1"/>
  <c r="X36" i="1"/>
  <c r="X35" i="1"/>
  <c r="W35" i="1"/>
  <c r="X33" i="1"/>
  <c r="W33" i="1"/>
  <c r="X32" i="1"/>
  <c r="W32" i="1"/>
  <c r="X31" i="1"/>
  <c r="W31" i="1"/>
  <c r="X29" i="1"/>
  <c r="W29" i="1"/>
  <c r="X27" i="1"/>
  <c r="W27" i="1"/>
  <c r="X26" i="1"/>
  <c r="W26" i="1"/>
  <c r="X25" i="1"/>
  <c r="W25" i="1"/>
  <c r="X23" i="1"/>
  <c r="W23" i="1"/>
  <c r="X21" i="1"/>
  <c r="W21" i="1"/>
  <c r="X19" i="1"/>
  <c r="X18" i="1"/>
  <c r="W18" i="1"/>
  <c r="X16" i="1"/>
  <c r="W14" i="1"/>
  <c r="X13" i="1"/>
  <c r="W13" i="1"/>
  <c r="X11" i="1"/>
  <c r="X10" i="1"/>
  <c r="W10" i="1"/>
  <c r="X8" i="1"/>
  <c r="W8" i="1"/>
  <c r="X6" i="1"/>
  <c r="W6" i="1"/>
  <c r="X5" i="1"/>
  <c r="W5" i="1"/>
  <c r="X4" i="1"/>
  <c r="W4" i="1"/>
  <c r="X3" i="1"/>
  <c r="W3" i="1"/>
  <c r="V22" i="12" l="1"/>
  <c r="U22" i="12"/>
  <c r="F65" i="12"/>
  <c r="E65" i="12"/>
  <c r="F63" i="12"/>
  <c r="E63" i="12"/>
  <c r="F61" i="12"/>
  <c r="E61" i="12"/>
  <c r="F60" i="12"/>
  <c r="E60" i="12"/>
  <c r="F59" i="12"/>
  <c r="E59" i="12"/>
  <c r="F58" i="12"/>
  <c r="E58" i="12"/>
  <c r="F57" i="12"/>
  <c r="E57" i="12"/>
  <c r="F56" i="12"/>
  <c r="E56" i="12"/>
  <c r="F55" i="12"/>
  <c r="E55" i="12"/>
  <c r="F54" i="12"/>
  <c r="E54" i="12"/>
  <c r="F53" i="12"/>
  <c r="E53" i="12"/>
  <c r="F52" i="12"/>
  <c r="E52" i="12"/>
  <c r="F51" i="12"/>
  <c r="E51" i="12"/>
  <c r="F50" i="12"/>
  <c r="E50" i="12"/>
  <c r="F49" i="12"/>
  <c r="E49" i="12"/>
  <c r="F47" i="12"/>
  <c r="E47" i="12"/>
  <c r="F46" i="12"/>
  <c r="E46" i="12"/>
  <c r="F45" i="12"/>
  <c r="E45" i="12"/>
  <c r="F44" i="12"/>
  <c r="E44" i="12"/>
  <c r="F43" i="12"/>
  <c r="E43" i="12"/>
  <c r="F42" i="12"/>
  <c r="E42" i="12"/>
  <c r="F41" i="12"/>
  <c r="E41" i="12"/>
  <c r="F40" i="12"/>
  <c r="E40" i="12"/>
  <c r="F39" i="12"/>
  <c r="E39" i="12"/>
  <c r="F38" i="12"/>
  <c r="E38" i="12"/>
  <c r="F36" i="12"/>
  <c r="E36" i="12"/>
  <c r="F35" i="12"/>
  <c r="E35" i="12"/>
  <c r="F34" i="12"/>
  <c r="E34" i="12"/>
  <c r="F33" i="12"/>
  <c r="E33" i="12"/>
  <c r="F32" i="12"/>
  <c r="E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3" i="12"/>
  <c r="E23" i="12"/>
  <c r="F22" i="12"/>
  <c r="E22" i="12"/>
  <c r="F21" i="12"/>
  <c r="E21" i="12"/>
  <c r="F20" i="12"/>
  <c r="E20" i="12"/>
  <c r="F19" i="12"/>
  <c r="E19" i="12"/>
  <c r="F18" i="12"/>
  <c r="E18" i="12"/>
  <c r="F17" i="12"/>
  <c r="E17" i="12"/>
  <c r="F16" i="12"/>
  <c r="E16" i="12"/>
  <c r="F15" i="12"/>
  <c r="E15" i="12"/>
  <c r="F14" i="12"/>
  <c r="E14" i="12"/>
  <c r="F13" i="12"/>
  <c r="E13" i="12"/>
  <c r="F12" i="12"/>
  <c r="E12" i="12"/>
  <c r="F11" i="12"/>
  <c r="E11" i="12"/>
  <c r="F10" i="12"/>
  <c r="E10" i="12"/>
  <c r="F9" i="12"/>
  <c r="E9" i="12"/>
  <c r="F8" i="12"/>
  <c r="E8" i="12"/>
  <c r="F7" i="12"/>
  <c r="E7" i="12"/>
  <c r="F6" i="12"/>
  <c r="E6" i="12"/>
  <c r="F4" i="12"/>
  <c r="E4" i="12"/>
  <c r="J61" i="12"/>
  <c r="I61" i="12"/>
  <c r="J60" i="12"/>
  <c r="I60" i="12"/>
  <c r="J59" i="12"/>
  <c r="I59" i="12"/>
  <c r="J58" i="12"/>
  <c r="I58" i="12"/>
  <c r="J57" i="12"/>
  <c r="I57" i="12"/>
  <c r="J56" i="12"/>
  <c r="I56" i="12"/>
  <c r="J55" i="12"/>
  <c r="I55" i="12"/>
  <c r="J54" i="12"/>
  <c r="I54" i="12"/>
  <c r="J53" i="12"/>
  <c r="I53" i="12"/>
  <c r="J52" i="12"/>
  <c r="I52" i="12"/>
  <c r="J51" i="12"/>
  <c r="I51" i="12"/>
  <c r="J50" i="12"/>
  <c r="I50" i="12"/>
  <c r="J49" i="12"/>
  <c r="I49" i="12"/>
  <c r="J47" i="12"/>
  <c r="I47" i="12"/>
  <c r="J46" i="12"/>
  <c r="I46" i="12"/>
  <c r="J45" i="12"/>
  <c r="I45" i="12"/>
  <c r="J44" i="12"/>
  <c r="I44" i="12"/>
  <c r="J43" i="12"/>
  <c r="I43" i="12"/>
  <c r="J42" i="12"/>
  <c r="I42" i="12"/>
  <c r="J41" i="12"/>
  <c r="I41" i="12"/>
  <c r="J40" i="12"/>
  <c r="I40" i="12"/>
  <c r="J39" i="12"/>
  <c r="I39" i="12"/>
  <c r="J38" i="12"/>
  <c r="I38" i="12"/>
  <c r="J36" i="12"/>
  <c r="I36" i="12"/>
  <c r="J35" i="12"/>
  <c r="I35" i="12"/>
  <c r="J34" i="12"/>
  <c r="I34" i="12"/>
  <c r="J33" i="12"/>
  <c r="I33" i="12"/>
  <c r="J32" i="12"/>
  <c r="I32" i="12"/>
  <c r="J31" i="12"/>
  <c r="I31" i="12"/>
  <c r="J30" i="12"/>
  <c r="I30" i="12"/>
  <c r="J29" i="12"/>
  <c r="I29" i="12"/>
  <c r="J28" i="12"/>
  <c r="I28" i="12"/>
  <c r="J27" i="12"/>
  <c r="I27" i="12"/>
  <c r="J26" i="12"/>
  <c r="I26" i="12"/>
  <c r="J25" i="12"/>
  <c r="I25" i="12"/>
  <c r="J23" i="12"/>
  <c r="I23" i="12"/>
  <c r="J22" i="12"/>
  <c r="I22" i="12"/>
  <c r="J21" i="12"/>
  <c r="I21" i="12"/>
  <c r="J20" i="12"/>
  <c r="I20" i="12"/>
  <c r="J19" i="12"/>
  <c r="I19" i="12"/>
  <c r="J18" i="12"/>
  <c r="I18" i="12"/>
  <c r="J17" i="12"/>
  <c r="I17" i="12"/>
  <c r="J16" i="12"/>
  <c r="I16" i="12"/>
  <c r="J15" i="12"/>
  <c r="I15" i="12"/>
  <c r="J14" i="12"/>
  <c r="I14" i="12"/>
  <c r="J13" i="12"/>
  <c r="I13" i="12"/>
  <c r="J12" i="12"/>
  <c r="I12" i="12"/>
  <c r="J11" i="12"/>
  <c r="I11" i="12"/>
  <c r="J10" i="12"/>
  <c r="I10" i="12"/>
  <c r="J9" i="12"/>
  <c r="I9" i="12"/>
  <c r="J8" i="12"/>
  <c r="I8" i="12"/>
  <c r="J7" i="12"/>
  <c r="I7" i="12"/>
  <c r="J6" i="12"/>
  <c r="I6" i="12"/>
  <c r="J4" i="12"/>
  <c r="I4" i="12"/>
  <c r="N65" i="12"/>
  <c r="M65" i="12"/>
  <c r="N63" i="12"/>
  <c r="M63" i="12"/>
  <c r="N61" i="12"/>
  <c r="M61" i="12"/>
  <c r="N60" i="12"/>
  <c r="M60" i="12"/>
  <c r="N59" i="12"/>
  <c r="M59" i="12"/>
  <c r="N58" i="12"/>
  <c r="M58" i="12"/>
  <c r="N57" i="12"/>
  <c r="M57" i="12"/>
  <c r="N56" i="12"/>
  <c r="M56" i="12"/>
  <c r="N55" i="12"/>
  <c r="M55" i="12"/>
  <c r="N54" i="12"/>
  <c r="M54" i="12"/>
  <c r="N53" i="12"/>
  <c r="M53" i="12"/>
  <c r="N52" i="12"/>
  <c r="M52" i="12"/>
  <c r="N51" i="12"/>
  <c r="M51" i="12"/>
  <c r="N50" i="12"/>
  <c r="M50" i="12"/>
  <c r="N49" i="12"/>
  <c r="M49" i="12"/>
  <c r="N46" i="12"/>
  <c r="M46" i="12"/>
  <c r="N45" i="12"/>
  <c r="M45" i="12"/>
  <c r="N44" i="12"/>
  <c r="M44" i="12"/>
  <c r="N43" i="12"/>
  <c r="M43" i="12"/>
  <c r="N42" i="12"/>
  <c r="M42" i="12"/>
  <c r="N41" i="12"/>
  <c r="M41" i="12"/>
  <c r="N40" i="12"/>
  <c r="M40" i="12"/>
  <c r="N39" i="12"/>
  <c r="M39" i="12"/>
  <c r="N38" i="12"/>
  <c r="M38" i="12"/>
  <c r="N35" i="12"/>
  <c r="M35" i="12"/>
  <c r="N34" i="12"/>
  <c r="M34" i="12"/>
  <c r="N33" i="12"/>
  <c r="M33" i="12"/>
  <c r="N32" i="12"/>
  <c r="M32" i="12"/>
  <c r="N31" i="12"/>
  <c r="M31" i="12"/>
  <c r="N30" i="12"/>
  <c r="M30" i="12"/>
  <c r="N29" i="12"/>
  <c r="M29" i="12"/>
  <c r="N28" i="12"/>
  <c r="M28" i="12"/>
  <c r="N27" i="12"/>
  <c r="M27" i="12"/>
  <c r="N26" i="12"/>
  <c r="M26" i="12"/>
  <c r="N25" i="12"/>
  <c r="M25" i="12"/>
  <c r="N22" i="12"/>
  <c r="M22" i="12"/>
  <c r="N21" i="12"/>
  <c r="M21" i="12"/>
  <c r="N20" i="12"/>
  <c r="M20" i="12"/>
  <c r="N19" i="12"/>
  <c r="M19" i="12"/>
  <c r="N18" i="12"/>
  <c r="M18" i="12"/>
  <c r="N17" i="12"/>
  <c r="M17" i="12"/>
  <c r="N16" i="12"/>
  <c r="M16" i="12"/>
  <c r="N15" i="12"/>
  <c r="M15" i="12"/>
  <c r="N14" i="12"/>
  <c r="M14" i="12"/>
  <c r="N13" i="12"/>
  <c r="M13" i="12"/>
  <c r="N12" i="12"/>
  <c r="M12" i="12"/>
  <c r="N11" i="12"/>
  <c r="M11" i="12"/>
  <c r="N10" i="12"/>
  <c r="M10" i="12"/>
  <c r="N9" i="12"/>
  <c r="M9" i="12"/>
  <c r="N8" i="12"/>
  <c r="M8" i="12"/>
  <c r="N7" i="12"/>
  <c r="M7" i="12"/>
  <c r="N6" i="12"/>
  <c r="M6" i="12"/>
  <c r="N4" i="12"/>
  <c r="M4" i="12"/>
  <c r="R63" i="12"/>
  <c r="Q63" i="12"/>
  <c r="R59" i="12"/>
  <c r="Q59" i="12"/>
  <c r="R58" i="12"/>
  <c r="Q58" i="12"/>
  <c r="R57" i="12"/>
  <c r="Q57" i="12"/>
  <c r="R56" i="12"/>
  <c r="Q56" i="12"/>
  <c r="R55" i="12"/>
  <c r="Q55" i="12"/>
  <c r="R54" i="12"/>
  <c r="Q54" i="12"/>
  <c r="R53" i="12"/>
  <c r="Q53" i="12"/>
  <c r="R51" i="12"/>
  <c r="Q51" i="12"/>
  <c r="R50" i="12"/>
  <c r="Q50" i="12"/>
  <c r="R49" i="12"/>
  <c r="Q49" i="12"/>
  <c r="R46" i="12"/>
  <c r="Q46" i="12"/>
  <c r="R45" i="12"/>
  <c r="Q45" i="12"/>
  <c r="R44" i="12"/>
  <c r="Q44" i="12"/>
  <c r="R42" i="12"/>
  <c r="Q42" i="12"/>
  <c r="R41" i="12"/>
  <c r="Q41" i="12"/>
  <c r="R40" i="12"/>
  <c r="Q40" i="12"/>
  <c r="R39" i="12"/>
  <c r="Q39" i="12"/>
  <c r="R38" i="12"/>
  <c r="Q38" i="12"/>
  <c r="R35" i="12"/>
  <c r="Q35" i="12"/>
  <c r="R31" i="12"/>
  <c r="Q31" i="12"/>
  <c r="R26" i="12"/>
  <c r="Q26" i="12"/>
  <c r="R25" i="12"/>
  <c r="Q25" i="12"/>
  <c r="R21" i="12"/>
  <c r="Q21" i="12"/>
  <c r="R20" i="12"/>
  <c r="Q20" i="12"/>
  <c r="R19" i="12"/>
  <c r="Q19" i="12"/>
  <c r="R17" i="12"/>
  <c r="Q17" i="12"/>
  <c r="R16" i="12"/>
  <c r="Q16" i="12"/>
  <c r="R15" i="12"/>
  <c r="Q15" i="12"/>
  <c r="R14" i="12"/>
  <c r="Q14" i="12"/>
  <c r="R13" i="12"/>
  <c r="Q13" i="12"/>
  <c r="R12" i="12"/>
  <c r="Q12" i="12"/>
  <c r="R7" i="12"/>
  <c r="Q7" i="12"/>
  <c r="R6" i="12"/>
  <c r="Q6" i="12"/>
  <c r="S63" i="12" l="1"/>
  <c r="H63" i="3"/>
  <c r="H62" i="3"/>
  <c r="H61" i="3"/>
  <c r="H60" i="3"/>
  <c r="H59" i="3"/>
  <c r="H58" i="3"/>
  <c r="H57" i="3"/>
  <c r="G64" i="3"/>
  <c r="G63" i="3"/>
  <c r="G62" i="3"/>
  <c r="G61" i="3"/>
  <c r="G60" i="3"/>
  <c r="G59" i="3"/>
  <c r="G58" i="3"/>
  <c r="G57" i="3"/>
  <c r="G56" i="3"/>
  <c r="U15" i="12" l="1"/>
  <c r="V15" i="12"/>
  <c r="V45" i="12"/>
  <c r="U45" i="12"/>
  <c r="V17" i="12"/>
  <c r="U17" i="12"/>
  <c r="V46" i="12"/>
  <c r="U46" i="12"/>
  <c r="V56" i="12"/>
  <c r="U56" i="12"/>
  <c r="V10" i="12"/>
  <c r="U10" i="12"/>
  <c r="V18" i="12"/>
  <c r="U18" i="12"/>
  <c r="V49" i="12"/>
  <c r="U49" i="12"/>
  <c r="U57" i="12"/>
  <c r="V57" i="12"/>
  <c r="V14" i="12"/>
  <c r="U14" i="12"/>
  <c r="U53" i="12"/>
  <c r="V53" i="12"/>
  <c r="U16" i="12"/>
  <c r="V16" i="12"/>
  <c r="V55" i="12"/>
  <c r="U55" i="12"/>
  <c r="V11" i="12"/>
  <c r="U11" i="12"/>
  <c r="U58" i="12"/>
  <c r="V58" i="12"/>
  <c r="V6" i="12"/>
  <c r="U6" i="12"/>
  <c r="V43" i="12"/>
  <c r="U43" i="12"/>
  <c r="U44" i="12"/>
  <c r="V44" i="12"/>
  <c r="V8" i="12"/>
  <c r="U8" i="12"/>
  <c r="V9" i="12"/>
  <c r="U9" i="12"/>
  <c r="U19" i="12"/>
  <c r="V19" i="12"/>
  <c r="V50" i="12"/>
  <c r="U50" i="12"/>
  <c r="V12" i="12"/>
  <c r="U12" i="12"/>
  <c r="V20" i="12"/>
  <c r="U20" i="12"/>
  <c r="V51" i="12"/>
  <c r="U51" i="12"/>
  <c r="V59" i="12"/>
  <c r="U59" i="12"/>
  <c r="V7" i="12"/>
  <c r="U7" i="12"/>
  <c r="V54" i="12"/>
  <c r="U54" i="12"/>
  <c r="V4" i="12"/>
  <c r="U4" i="12"/>
  <c r="V13" i="12"/>
  <c r="U13" i="12"/>
  <c r="V21" i="12"/>
  <c r="U21" i="12"/>
  <c r="V52" i="12"/>
  <c r="U52" i="12"/>
  <c r="V63" i="12"/>
  <c r="U63" i="12"/>
  <c r="V25" i="12"/>
  <c r="U25" i="12"/>
  <c r="U35" i="12"/>
  <c r="V35" i="12"/>
  <c r="V33" i="12"/>
  <c r="U33" i="12"/>
  <c r="V26" i="12"/>
  <c r="U26" i="12"/>
  <c r="U27" i="12"/>
  <c r="V27" i="12"/>
  <c r="U38" i="12"/>
  <c r="V38" i="12"/>
  <c r="V29" i="12"/>
  <c r="U29" i="12"/>
  <c r="V39" i="12"/>
  <c r="U39" i="12"/>
  <c r="V30" i="12"/>
  <c r="U30" i="12"/>
  <c r="V31" i="12"/>
  <c r="U31" i="12"/>
  <c r="V41" i="12"/>
  <c r="U41" i="12"/>
  <c r="V34" i="12"/>
  <c r="U34" i="12"/>
  <c r="U28" i="12"/>
  <c r="V28" i="12"/>
  <c r="V40" i="12"/>
  <c r="U40" i="12"/>
  <c r="V32" i="12"/>
  <c r="U32" i="12"/>
  <c r="V42" i="12"/>
  <c r="U42" i="12"/>
  <c r="AH6" i="1"/>
  <c r="AH5" i="1"/>
  <c r="AH4" i="1"/>
  <c r="AH48" i="1" l="1"/>
  <c r="N47" i="12" l="1"/>
  <c r="M47" i="12"/>
  <c r="N23" i="12" l="1"/>
  <c r="M23" i="12"/>
  <c r="N36" i="12" l="1"/>
  <c r="M36" i="12"/>
  <c r="R43" i="1" l="1"/>
  <c r="R42" i="1"/>
  <c r="AF9" i="1" l="1"/>
  <c r="AH15" i="1" l="1"/>
  <c r="S47" i="12" l="1"/>
  <c r="S60" i="12"/>
  <c r="J63" i="12" l="1"/>
  <c r="I63" i="12"/>
  <c r="J65" i="12" l="1"/>
  <c r="I65" i="12"/>
  <c r="V60" i="12"/>
  <c r="U60" i="12"/>
  <c r="AG8" i="1"/>
  <c r="AG10" i="1" s="1"/>
  <c r="AG11" i="1" l="1"/>
  <c r="R33" i="1" l="1"/>
  <c r="S18" i="1"/>
  <c r="T51" i="1" l="1"/>
  <c r="S51" i="1"/>
  <c r="T49" i="1"/>
  <c r="S49" i="1"/>
  <c r="T48" i="1"/>
  <c r="S48" i="1"/>
  <c r="T47" i="1"/>
  <c r="S47" i="1"/>
  <c r="T46" i="1"/>
  <c r="S46" i="1"/>
  <c r="T33" i="1"/>
  <c r="S33" i="1"/>
  <c r="T32" i="1"/>
  <c r="S32" i="1"/>
  <c r="T31" i="1"/>
  <c r="S31" i="1"/>
  <c r="T27" i="1"/>
  <c r="S27" i="1"/>
  <c r="T26" i="1"/>
  <c r="S26" i="1"/>
  <c r="T25" i="1"/>
  <c r="S25" i="1"/>
  <c r="T21" i="1"/>
  <c r="S21" i="1"/>
  <c r="T18" i="1"/>
  <c r="S14" i="1"/>
  <c r="T13" i="1"/>
  <c r="S13" i="1"/>
  <c r="T6" i="1"/>
  <c r="S6" i="1"/>
  <c r="T5" i="1"/>
  <c r="S5" i="1"/>
  <c r="T4" i="1"/>
  <c r="S4" i="1"/>
  <c r="Q52" i="12" l="1"/>
  <c r="R52" i="12"/>
  <c r="R43" i="12"/>
  <c r="Q43" i="12"/>
  <c r="R34" i="12"/>
  <c r="Q34" i="12"/>
  <c r="Q33" i="12"/>
  <c r="R33" i="12"/>
  <c r="Q32" i="12"/>
  <c r="R32" i="12"/>
  <c r="Q29" i="12"/>
  <c r="R29" i="12"/>
  <c r="R28" i="12"/>
  <c r="Q28" i="12"/>
  <c r="R22" i="12"/>
  <c r="Q22" i="12"/>
  <c r="R18" i="12"/>
  <c r="Q18" i="12"/>
  <c r="R11" i="12"/>
  <c r="Q11" i="12"/>
  <c r="R9" i="12"/>
  <c r="Q9" i="12"/>
  <c r="R8" i="12"/>
  <c r="Q8" i="12"/>
  <c r="Q4" i="12"/>
  <c r="R4" i="12"/>
  <c r="AF46" i="1"/>
  <c r="AF45" i="1"/>
  <c r="AF43" i="1"/>
  <c r="AE43" i="1"/>
  <c r="AF42" i="1"/>
  <c r="AE40" i="1"/>
  <c r="AF40" i="1"/>
  <c r="AE39" i="1"/>
  <c r="AF36" i="1"/>
  <c r="R60" i="12" l="1"/>
  <c r="Q60" i="12"/>
  <c r="R47" i="12"/>
  <c r="Q47" i="12"/>
  <c r="AE6" i="1"/>
  <c r="AE47" i="1"/>
  <c r="AF49" i="1"/>
  <c r="AE38" i="1"/>
  <c r="AF47" i="1"/>
  <c r="AE4" i="1"/>
  <c r="AF6" i="1"/>
  <c r="AE50" i="1"/>
  <c r="AE48" i="1"/>
  <c r="AF50" i="1"/>
  <c r="AF4" i="1"/>
  <c r="AE46" i="1"/>
  <c r="AF48" i="1"/>
  <c r="AE3" i="1"/>
  <c r="AF3" i="1"/>
  <c r="AF5" i="1"/>
  <c r="AF39" i="1"/>
  <c r="AF41" i="1"/>
  <c r="AE41" i="1"/>
  <c r="AE5" i="1"/>
  <c r="AE45" i="1"/>
  <c r="AE49" i="1"/>
  <c r="AF38" i="1"/>
  <c r="AF8" i="1" l="1"/>
  <c r="AE8" i="1"/>
  <c r="AF33" i="1"/>
  <c r="AE33" i="1"/>
  <c r="AE10" i="1" l="1"/>
  <c r="AF10" i="1"/>
  <c r="AF11" i="1" l="1"/>
  <c r="AB49" i="1" l="1"/>
  <c r="AB48" i="1"/>
  <c r="AB47" i="1"/>
  <c r="AA47" i="1"/>
  <c r="AB46" i="1"/>
  <c r="AA46" i="1"/>
  <c r="L33" i="19"/>
  <c r="K33" i="19"/>
  <c r="J33" i="19"/>
  <c r="I33" i="19"/>
  <c r="H33" i="19"/>
  <c r="G33" i="19"/>
  <c r="F33" i="19"/>
  <c r="E33" i="19"/>
  <c r="D33" i="19"/>
  <c r="C33" i="19"/>
  <c r="L27" i="19"/>
  <c r="K27" i="19"/>
  <c r="J27" i="19"/>
  <c r="I27" i="19"/>
  <c r="H27" i="19"/>
  <c r="G27" i="19"/>
  <c r="F27" i="19"/>
  <c r="E27" i="19"/>
  <c r="D27" i="19"/>
  <c r="C27" i="19"/>
  <c r="L23" i="19"/>
  <c r="K23" i="19"/>
  <c r="J23" i="19"/>
  <c r="I23" i="19"/>
  <c r="I29" i="19" s="1"/>
  <c r="H23" i="19"/>
  <c r="G23" i="19"/>
  <c r="F23" i="19"/>
  <c r="F29" i="19" s="1"/>
  <c r="F35" i="19" s="1"/>
  <c r="F44" i="19" s="1"/>
  <c r="F52" i="19" s="1"/>
  <c r="F53" i="19" s="1"/>
  <c r="E23" i="19"/>
  <c r="D23" i="19"/>
  <c r="C23" i="19"/>
  <c r="L8" i="19"/>
  <c r="L11" i="19" s="1"/>
  <c r="K8" i="19"/>
  <c r="K11" i="19" s="1"/>
  <c r="J8" i="19"/>
  <c r="J11" i="19" s="1"/>
  <c r="I8" i="19"/>
  <c r="H8" i="19"/>
  <c r="H11" i="19" s="1"/>
  <c r="G8" i="19"/>
  <c r="G11" i="19" s="1"/>
  <c r="F8" i="19"/>
  <c r="F11" i="19" s="1"/>
  <c r="E8" i="19"/>
  <c r="E11" i="19" s="1"/>
  <c r="D8" i="19"/>
  <c r="D11" i="19" s="1"/>
  <c r="C8" i="19"/>
  <c r="C11" i="19" s="1"/>
  <c r="D29" i="19" l="1"/>
  <c r="D35" i="19" s="1"/>
  <c r="D44" i="19" s="1"/>
  <c r="D52" i="19" s="1"/>
  <c r="D53" i="19" s="1"/>
  <c r="L29" i="19"/>
  <c r="L35" i="19" s="1"/>
  <c r="L44" i="19" s="1"/>
  <c r="L52" i="19" s="1"/>
  <c r="L53" i="19" s="1"/>
  <c r="I35" i="19"/>
  <c r="I44" i="19" s="1"/>
  <c r="I52" i="19" s="1"/>
  <c r="I53" i="19" s="1"/>
  <c r="J29" i="19"/>
  <c r="J35" i="19" s="1"/>
  <c r="J44" i="19" s="1"/>
  <c r="J52" i="19" s="1"/>
  <c r="J53" i="19" s="1"/>
  <c r="E29" i="19"/>
  <c r="E35" i="19" s="1"/>
  <c r="E44" i="19" s="1"/>
  <c r="E52" i="19" s="1"/>
  <c r="E53" i="19" s="1"/>
  <c r="G29" i="19"/>
  <c r="G35" i="19" s="1"/>
  <c r="G44" i="19" s="1"/>
  <c r="G52" i="19" s="1"/>
  <c r="G53" i="19" s="1"/>
  <c r="H29" i="19"/>
  <c r="H35" i="19" s="1"/>
  <c r="H44" i="19" s="1"/>
  <c r="H52" i="19" s="1"/>
  <c r="H53" i="19" s="1"/>
  <c r="C29" i="19"/>
  <c r="C35" i="19" s="1"/>
  <c r="C44" i="19" s="1"/>
  <c r="C52" i="19" s="1"/>
  <c r="C53" i="19" s="1"/>
  <c r="K29" i="19"/>
  <c r="K35" i="19" s="1"/>
  <c r="K44" i="19" s="1"/>
  <c r="K52" i="19" s="1"/>
  <c r="K53" i="19" s="1"/>
  <c r="I16" i="19"/>
  <c r="I11" i="19"/>
  <c r="G5" i="3" l="1"/>
  <c r="H5" i="3"/>
  <c r="L33" i="1" l="1"/>
  <c r="K33" i="1"/>
  <c r="J33" i="1"/>
  <c r="I33" i="1"/>
  <c r="H33" i="1"/>
  <c r="G33" i="1"/>
  <c r="F33" i="1"/>
  <c r="E33" i="1"/>
  <c r="D33" i="1"/>
  <c r="C33" i="1"/>
  <c r="L27" i="1"/>
  <c r="K27" i="1"/>
  <c r="J27" i="1"/>
  <c r="I27" i="1"/>
  <c r="H27" i="1"/>
  <c r="G27" i="1"/>
  <c r="F27" i="1"/>
  <c r="E27" i="1"/>
  <c r="D27" i="1"/>
  <c r="C27" i="1"/>
  <c r="L23" i="1"/>
  <c r="K23" i="1"/>
  <c r="J23" i="1"/>
  <c r="I23" i="1"/>
  <c r="H23" i="1"/>
  <c r="G23" i="1"/>
  <c r="F23" i="1"/>
  <c r="E23" i="1"/>
  <c r="D23" i="1"/>
  <c r="D29" i="1" s="1"/>
  <c r="C23" i="1"/>
  <c r="L8" i="1"/>
  <c r="L11" i="1" s="1"/>
  <c r="K8" i="1"/>
  <c r="K11" i="1" s="1"/>
  <c r="J8" i="1"/>
  <c r="J11" i="1" s="1"/>
  <c r="I8" i="1"/>
  <c r="I11" i="1" s="1"/>
  <c r="H8" i="1"/>
  <c r="H11" i="1" s="1"/>
  <c r="G8" i="1"/>
  <c r="G11" i="1" s="1"/>
  <c r="F8" i="1"/>
  <c r="F11" i="1" s="1"/>
  <c r="E8" i="1"/>
  <c r="E11" i="1" s="1"/>
  <c r="D8" i="1"/>
  <c r="D11" i="1" s="1"/>
  <c r="C8" i="1"/>
  <c r="C11" i="1" s="1"/>
  <c r="D35" i="1" l="1"/>
  <c r="D44" i="1" s="1"/>
  <c r="D52" i="1" s="1"/>
  <c r="D53" i="1" s="1"/>
  <c r="G29" i="1"/>
  <c r="G35" i="1" s="1"/>
  <c r="G44" i="1" s="1"/>
  <c r="G52" i="1" s="1"/>
  <c r="G53" i="1" s="1"/>
  <c r="I29" i="1"/>
  <c r="I35" i="1" s="1"/>
  <c r="I44" i="1" s="1"/>
  <c r="I52" i="1" s="1"/>
  <c r="I53" i="1" s="1"/>
  <c r="L29" i="1"/>
  <c r="L35" i="1" s="1"/>
  <c r="L44" i="1" s="1"/>
  <c r="L52" i="1" s="1"/>
  <c r="L53" i="1" s="1"/>
  <c r="F29" i="1"/>
  <c r="F35" i="1" s="1"/>
  <c r="F44" i="1" s="1"/>
  <c r="F52" i="1" s="1"/>
  <c r="F53" i="1" s="1"/>
  <c r="E29" i="1"/>
  <c r="E35" i="1" s="1"/>
  <c r="E44" i="1" s="1"/>
  <c r="E52" i="1" s="1"/>
  <c r="E53" i="1" s="1"/>
  <c r="H29" i="1"/>
  <c r="H35" i="1" s="1"/>
  <c r="H44" i="1" s="1"/>
  <c r="H52" i="1" s="1"/>
  <c r="H53" i="1" s="1"/>
  <c r="I16" i="1"/>
  <c r="J29" i="1"/>
  <c r="J35" i="1" s="1"/>
  <c r="J44" i="1" s="1"/>
  <c r="J52" i="1" s="1"/>
  <c r="J53" i="1" s="1"/>
  <c r="C29" i="1"/>
  <c r="C35" i="1" s="1"/>
  <c r="C44" i="1" s="1"/>
  <c r="C52" i="1" s="1"/>
  <c r="C53" i="1" s="1"/>
  <c r="K29" i="1"/>
  <c r="K35" i="1" s="1"/>
  <c r="K44" i="1" s="1"/>
  <c r="K52" i="1" s="1"/>
  <c r="K53" i="1" s="1"/>
  <c r="V47" i="12" l="1"/>
  <c r="U47" i="12"/>
  <c r="AG15" i="1"/>
  <c r="H64" i="3" l="1"/>
  <c r="I68" i="12" l="1"/>
  <c r="J68" i="12"/>
  <c r="F69" i="12"/>
  <c r="E69" i="12"/>
  <c r="I69" i="12"/>
  <c r="F70" i="12"/>
  <c r="E70" i="12"/>
  <c r="I70" i="12"/>
  <c r="F71" i="12"/>
  <c r="E71" i="12"/>
  <c r="I71" i="12"/>
  <c r="F72" i="12"/>
  <c r="E72" i="12"/>
  <c r="I72" i="12"/>
  <c r="F73" i="12"/>
  <c r="E73" i="12"/>
  <c r="I73" i="12"/>
  <c r="E74" i="12"/>
  <c r="I74" i="12"/>
  <c r="F75" i="12"/>
  <c r="E75" i="12"/>
  <c r="J75" i="12"/>
  <c r="I75" i="12"/>
  <c r="E76" i="12"/>
  <c r="I76" i="12"/>
  <c r="E88" i="12"/>
  <c r="F74" i="12" l="1"/>
  <c r="F76" i="12"/>
  <c r="G51" i="3" l="1"/>
  <c r="G42" i="3"/>
  <c r="G41" i="3"/>
  <c r="G39" i="3"/>
  <c r="G19" i="3"/>
  <c r="G10" i="3"/>
  <c r="G44" i="3" l="1"/>
  <c r="G53" i="3"/>
  <c r="G52" i="3"/>
  <c r="G50" i="3"/>
  <c r="G65" i="3"/>
  <c r="H52" i="3" l="1"/>
  <c r="H51" i="3"/>
  <c r="H19" i="3"/>
  <c r="H10" i="3"/>
  <c r="H42" i="3" l="1"/>
  <c r="H50" i="3"/>
  <c r="H39" i="3"/>
  <c r="H41" i="3"/>
  <c r="H44" i="3"/>
  <c r="H53" i="3" l="1"/>
  <c r="G14" i="3" l="1"/>
  <c r="G13" i="3"/>
  <c r="G20" i="3"/>
  <c r="G7" i="3"/>
  <c r="G8" i="3"/>
  <c r="G9" i="3"/>
  <c r="G18" i="3"/>
  <c r="G11" i="3"/>
  <c r="G21" i="3"/>
  <c r="G12" i="3"/>
  <c r="G22" i="3"/>
  <c r="G45" i="3"/>
  <c r="G33" i="3"/>
  <c r="G37" i="3"/>
  <c r="G46" i="3"/>
  <c r="G49" i="3"/>
  <c r="G34" i="3"/>
  <c r="G38" i="3"/>
  <c r="G47" i="3"/>
  <c r="G36" i="3"/>
  <c r="G30" i="3"/>
  <c r="G35" i="3"/>
  <c r="G40" i="3"/>
  <c r="G48" i="3"/>
  <c r="H21" i="3"/>
  <c r="H18" i="3"/>
  <c r="H22" i="3"/>
  <c r="H20" i="3"/>
  <c r="H24" i="3"/>
  <c r="H36" i="3"/>
  <c r="H25" i="3"/>
  <c r="H33" i="3"/>
  <c r="H37" i="3"/>
  <c r="H48" i="3"/>
  <c r="H45" i="3"/>
  <c r="H49" i="3"/>
  <c r="H46" i="3"/>
  <c r="H47" i="3"/>
  <c r="H30" i="3"/>
  <c r="H35" i="3"/>
  <c r="H40" i="3"/>
  <c r="H34" i="3"/>
  <c r="H38" i="3"/>
  <c r="H9" i="3"/>
  <c r="H13" i="3"/>
  <c r="H11" i="3"/>
  <c r="H14" i="3"/>
  <c r="H7" i="3"/>
  <c r="H12" i="3"/>
  <c r="H8" i="3"/>
  <c r="H6" i="3"/>
  <c r="G6" i="3"/>
  <c r="G24" i="3" l="1"/>
  <c r="G25" i="3"/>
  <c r="H56" i="3"/>
  <c r="U75" i="12"/>
  <c r="V68" i="12"/>
  <c r="U68" i="12"/>
  <c r="U72" i="12"/>
  <c r="U69" i="12"/>
  <c r="U73" i="12"/>
  <c r="U71" i="12"/>
  <c r="U70" i="12"/>
  <c r="U76" i="12"/>
  <c r="U74" i="12"/>
  <c r="R79" i="18"/>
  <c r="R78" i="18"/>
  <c r="I63" i="18"/>
  <c r="E63" i="18"/>
  <c r="C63" i="18"/>
  <c r="I54" i="18"/>
  <c r="E54" i="18"/>
  <c r="C54" i="18"/>
  <c r="N53" i="18"/>
  <c r="P44" i="18"/>
  <c r="P43" i="18"/>
  <c r="O35" i="18"/>
  <c r="G35" i="18"/>
  <c r="O32" i="18"/>
  <c r="K30" i="18"/>
  <c r="O28" i="18"/>
  <c r="N22" i="18"/>
  <c r="I22" i="18"/>
  <c r="I33" i="18" s="1"/>
  <c r="I39" i="18" s="1"/>
  <c r="E22" i="18"/>
  <c r="E33" i="18" s="1"/>
  <c r="E39" i="18" s="1"/>
  <c r="N21" i="18"/>
  <c r="N16" i="18"/>
  <c r="P16" i="18" s="1"/>
  <c r="P10" i="18"/>
  <c r="N9" i="18"/>
  <c r="N6" i="18"/>
  <c r="N44" i="16"/>
  <c r="N42" i="16"/>
  <c r="N45" i="16" s="1"/>
  <c r="F39" i="16"/>
  <c r="H34" i="16"/>
  <c r="F34" i="16"/>
  <c r="J24" i="16"/>
  <c r="I24" i="16"/>
  <c r="J23" i="16"/>
  <c r="I23" i="16"/>
  <c r="J22" i="16"/>
  <c r="I22" i="16"/>
  <c r="J21" i="16"/>
  <c r="I21" i="16"/>
  <c r="J19" i="16"/>
  <c r="I19" i="16"/>
  <c r="H18" i="16"/>
  <c r="I18" i="16" s="1"/>
  <c r="F18" i="16"/>
  <c r="J18" i="16" s="1"/>
  <c r="D18" i="16"/>
  <c r="B18" i="16"/>
  <c r="J17" i="16"/>
  <c r="I17" i="16"/>
  <c r="J16" i="16"/>
  <c r="I16" i="16"/>
  <c r="J15" i="16"/>
  <c r="I15" i="16"/>
  <c r="D14" i="16"/>
  <c r="D20" i="16" s="1"/>
  <c r="D25" i="16" s="1"/>
  <c r="B14" i="16"/>
  <c r="B20" i="16" s="1"/>
  <c r="B25" i="16" s="1"/>
  <c r="J13" i="16"/>
  <c r="I13" i="16"/>
  <c r="J12" i="16"/>
  <c r="I12" i="16"/>
  <c r="J11" i="16"/>
  <c r="I11" i="16"/>
  <c r="J10" i="16"/>
  <c r="I10" i="16"/>
  <c r="J9" i="16"/>
  <c r="I9" i="16"/>
  <c r="H8" i="16"/>
  <c r="F8" i="16"/>
  <c r="J6" i="16"/>
  <c r="I6" i="16"/>
  <c r="K271" i="14"/>
  <c r="K270" i="14"/>
  <c r="K266" i="14"/>
  <c r="K265" i="14"/>
  <c r="K264" i="14"/>
  <c r="K244" i="14"/>
  <c r="K263" i="14" s="1"/>
  <c r="K239" i="14"/>
  <c r="K235" i="14"/>
  <c r="K232" i="14"/>
  <c r="K225" i="14"/>
  <c r="K219" i="14"/>
  <c r="K224" i="14" s="1"/>
  <c r="AJ145" i="14"/>
  <c r="AI145" i="14"/>
  <c r="AH145" i="14"/>
  <c r="AG145" i="14"/>
  <c r="AF145" i="14"/>
  <c r="AE145" i="14"/>
  <c r="AD145" i="14"/>
  <c r="AC145" i="14"/>
  <c r="AD144" i="14"/>
  <c r="AK143" i="14"/>
  <c r="AJ143" i="14"/>
  <c r="AI143" i="14"/>
  <c r="AH143" i="14"/>
  <c r="AG143" i="14"/>
  <c r="AF143" i="14"/>
  <c r="AE143" i="14"/>
  <c r="AD143" i="14"/>
  <c r="AC143" i="14"/>
  <c r="AH142" i="14"/>
  <c r="AG142" i="14"/>
  <c r="AF142" i="14"/>
  <c r="AE142" i="14"/>
  <c r="AD142" i="14"/>
  <c r="AC142" i="14"/>
  <c r="AI142" i="14"/>
  <c r="AJ141" i="14"/>
  <c r="AI141" i="14"/>
  <c r="AH141" i="14"/>
  <c r="AG141" i="14"/>
  <c r="AF141" i="14"/>
  <c r="AE141" i="14"/>
  <c r="AD141" i="14"/>
  <c r="AC141" i="14"/>
  <c r="AK141" i="14"/>
  <c r="AJ140" i="14"/>
  <c r="AI140" i="14"/>
  <c r="AH140" i="14"/>
  <c r="AG140" i="14"/>
  <c r="AF140" i="14"/>
  <c r="AE140" i="14"/>
  <c r="AD140" i="14"/>
  <c r="AC140" i="14"/>
  <c r="AK140" i="14"/>
  <c r="AJ139" i="14"/>
  <c r="AH139" i="14"/>
  <c r="AG139" i="14"/>
  <c r="AF139" i="14"/>
  <c r="AE139" i="14"/>
  <c r="AD139" i="14"/>
  <c r="AC139" i="14"/>
  <c r="AI139" i="14"/>
  <c r="AJ138" i="14"/>
  <c r="AI138" i="14"/>
  <c r="AH138" i="14"/>
  <c r="AG138" i="14"/>
  <c r="AF138" i="14"/>
  <c r="AE138" i="14"/>
  <c r="AD138" i="14"/>
  <c r="AC138" i="14"/>
  <c r="AK138" i="14"/>
  <c r="AK137" i="14"/>
  <c r="AJ137" i="14"/>
  <c r="AI137" i="14"/>
  <c r="AH137" i="14"/>
  <c r="AG137" i="14"/>
  <c r="AF137" i="14"/>
  <c r="AE137" i="14"/>
  <c r="AD137" i="14"/>
  <c r="AC137" i="14"/>
  <c r="AE136" i="14"/>
  <c r="AK135" i="14"/>
  <c r="AJ135" i="14"/>
  <c r="AI135" i="14"/>
  <c r="AH135" i="14"/>
  <c r="AG135" i="14"/>
  <c r="AF135" i="14"/>
  <c r="AE135" i="14"/>
  <c r="AD135" i="14"/>
  <c r="AC135" i="14"/>
  <c r="AJ134" i="14"/>
  <c r="AH134" i="14"/>
  <c r="AG134" i="14"/>
  <c r="AF134" i="14"/>
  <c r="AE134" i="14"/>
  <c r="AD134" i="14"/>
  <c r="AC134" i="14"/>
  <c r="AK133" i="14"/>
  <c r="AJ133" i="14"/>
  <c r="AI133" i="14"/>
  <c r="AH133" i="14"/>
  <c r="AG133" i="14"/>
  <c r="AF133" i="14"/>
  <c r="AE133" i="14"/>
  <c r="AD133" i="14"/>
  <c r="AC133" i="14"/>
  <c r="AK131" i="14"/>
  <c r="AJ131" i="14"/>
  <c r="AI131" i="14"/>
  <c r="AH131" i="14"/>
  <c r="AG131" i="14"/>
  <c r="AF131" i="14"/>
  <c r="AE131" i="14"/>
  <c r="AD131" i="14"/>
  <c r="AC131" i="14"/>
  <c r="AK130" i="14"/>
  <c r="AJ130" i="14"/>
  <c r="AI130" i="14"/>
  <c r="AH130" i="14"/>
  <c r="AG130" i="14"/>
  <c r="AF130" i="14"/>
  <c r="AE130" i="14"/>
  <c r="AD130" i="14"/>
  <c r="AC130" i="14"/>
  <c r="AJ129" i="14"/>
  <c r="AH129" i="14"/>
  <c r="AG129" i="14"/>
  <c r="AF129" i="14"/>
  <c r="AE129" i="14"/>
  <c r="AD129" i="14"/>
  <c r="AC129" i="14"/>
  <c r="AK128" i="14"/>
  <c r="AJ128" i="14"/>
  <c r="AI128" i="14"/>
  <c r="AH128" i="14"/>
  <c r="AG128" i="14"/>
  <c r="AF128" i="14"/>
  <c r="AE128" i="14"/>
  <c r="AD128" i="14"/>
  <c r="AC128" i="14"/>
  <c r="AH127" i="14"/>
  <c r="AG127" i="14"/>
  <c r="AF127" i="14"/>
  <c r="AD127" i="14"/>
  <c r="AJ127" i="14"/>
  <c r="AI127" i="14"/>
  <c r="AE127" i="14"/>
  <c r="AC127" i="14"/>
  <c r="AK126" i="14"/>
  <c r="AJ126" i="14"/>
  <c r="AH126" i="14"/>
  <c r="AG126" i="14"/>
  <c r="AF126" i="14"/>
  <c r="AE126" i="14"/>
  <c r="AD126" i="14"/>
  <c r="AC126" i="14"/>
  <c r="AI126" i="14"/>
  <c r="AJ125" i="14"/>
  <c r="AH125" i="14"/>
  <c r="AG125" i="14"/>
  <c r="AF125" i="14"/>
  <c r="AE125" i="14"/>
  <c r="AD125" i="14"/>
  <c r="AC125" i="14"/>
  <c r="AI125" i="14"/>
  <c r="AJ124" i="14"/>
  <c r="AI124" i="14"/>
  <c r="AH124" i="14"/>
  <c r="AG124" i="14"/>
  <c r="AF124" i="14"/>
  <c r="AE124" i="14"/>
  <c r="AD124" i="14"/>
  <c r="AC124" i="14"/>
  <c r="AK124" i="14"/>
  <c r="AJ123" i="14"/>
  <c r="AI123" i="14"/>
  <c r="AH123" i="14"/>
  <c r="AG123" i="14"/>
  <c r="AF123" i="14"/>
  <c r="AE123" i="14"/>
  <c r="AD123" i="14"/>
  <c r="AC123" i="14"/>
  <c r="AK122" i="14"/>
  <c r="AJ122" i="14"/>
  <c r="AI122" i="14"/>
  <c r="AH122" i="14"/>
  <c r="AG122" i="14"/>
  <c r="AF122" i="14"/>
  <c r="AE122" i="14"/>
  <c r="AD122" i="14"/>
  <c r="AC122" i="14"/>
  <c r="AH121" i="14"/>
  <c r="AG121" i="14"/>
  <c r="AE121" i="14"/>
  <c r="AD121" i="14"/>
  <c r="AJ121" i="14"/>
  <c r="AF121" i="14"/>
  <c r="AC121" i="14"/>
  <c r="AK120" i="14"/>
  <c r="AJ120" i="14"/>
  <c r="AH120" i="14"/>
  <c r="AG120" i="14"/>
  <c r="AF120" i="14"/>
  <c r="AE120" i="14"/>
  <c r="AD120" i="14"/>
  <c r="AC120" i="14"/>
  <c r="AI120" i="14"/>
  <c r="AJ119" i="14"/>
  <c r="AI119" i="14"/>
  <c r="AH119" i="14"/>
  <c r="AG119" i="14"/>
  <c r="AF119" i="14"/>
  <c r="AE119" i="14"/>
  <c r="AD119" i="14"/>
  <c r="AC119" i="14"/>
  <c r="AK119" i="14"/>
  <c r="AJ118" i="14"/>
  <c r="AH118" i="14"/>
  <c r="AG118" i="14"/>
  <c r="AF118" i="14"/>
  <c r="AE118" i="14"/>
  <c r="AD118" i="14"/>
  <c r="AC118" i="14"/>
  <c r="AK117" i="14"/>
  <c r="AJ117" i="14"/>
  <c r="AI117" i="14"/>
  <c r="AH117" i="14"/>
  <c r="AG117" i="14"/>
  <c r="AF117" i="14"/>
  <c r="AE117" i="14"/>
  <c r="AD117" i="14"/>
  <c r="AC117" i="14"/>
  <c r="AK116" i="14"/>
  <c r="AJ116" i="14"/>
  <c r="AI116" i="14"/>
  <c r="AH116" i="14"/>
  <c r="AG116" i="14"/>
  <c r="AF116" i="14"/>
  <c r="AE116" i="14"/>
  <c r="AD116" i="14"/>
  <c r="AC116" i="14"/>
  <c r="AK115" i="14"/>
  <c r="AJ115" i="14"/>
  <c r="AI115" i="14"/>
  <c r="AH115" i="14"/>
  <c r="AG115" i="14"/>
  <c r="AF115" i="14"/>
  <c r="AE115" i="14"/>
  <c r="AD115" i="14"/>
  <c r="AC115" i="14"/>
  <c r="AJ114" i="14"/>
  <c r="AH114" i="14"/>
  <c r="AG114" i="14"/>
  <c r="AF114" i="14"/>
  <c r="AE114" i="14"/>
  <c r="AD114" i="14"/>
  <c r="AC114" i="14"/>
  <c r="AK113" i="14"/>
  <c r="AJ113" i="14"/>
  <c r="AH113" i="14"/>
  <c r="AG113" i="14"/>
  <c r="AF113" i="14"/>
  <c r="AE113" i="14"/>
  <c r="AD113" i="14"/>
  <c r="AC113" i="14"/>
  <c r="AI113" i="14"/>
  <c r="AK112" i="14"/>
  <c r="AJ112" i="14"/>
  <c r="AI112" i="14"/>
  <c r="AH112" i="14"/>
  <c r="AG112" i="14"/>
  <c r="AF112" i="14"/>
  <c r="AE112" i="14"/>
  <c r="AD112" i="14"/>
  <c r="AC112" i="14"/>
  <c r="AH111" i="14"/>
  <c r="AG111" i="14"/>
  <c r="AF111" i="14"/>
  <c r="AE111" i="14"/>
  <c r="AD111" i="14"/>
  <c r="AK110" i="14"/>
  <c r="AJ110" i="14"/>
  <c r="AI110" i="14"/>
  <c r="AH110" i="14"/>
  <c r="AG110" i="14"/>
  <c r="AF110" i="14"/>
  <c r="AE110" i="14"/>
  <c r="AD110" i="14"/>
  <c r="AC110" i="14"/>
  <c r="AG109" i="14"/>
  <c r="AH109" i="14"/>
  <c r="AF132" i="14"/>
  <c r="AD136" i="14"/>
  <c r="AK108" i="14"/>
  <c r="AJ108" i="14"/>
  <c r="AI108" i="14"/>
  <c r="AH108" i="14"/>
  <c r="AG108" i="14"/>
  <c r="AF108" i="14"/>
  <c r="AE108" i="14"/>
  <c r="AD108" i="14"/>
  <c r="AC108" i="14"/>
  <c r="AK107" i="14"/>
  <c r="AJ107" i="14"/>
  <c r="AI107" i="14"/>
  <c r="AH107" i="14"/>
  <c r="AG107" i="14"/>
  <c r="AF107" i="14"/>
  <c r="AE107" i="14"/>
  <c r="AD107" i="14"/>
  <c r="AC107" i="14"/>
  <c r="AH106" i="14"/>
  <c r="AG106" i="14"/>
  <c r="AF106" i="14"/>
  <c r="AE106" i="14"/>
  <c r="AD106" i="14"/>
  <c r="AE132" i="14"/>
  <c r="AK105" i="14"/>
  <c r="AJ105" i="14"/>
  <c r="AI105" i="14"/>
  <c r="AH105" i="14"/>
  <c r="AG105" i="14"/>
  <c r="AF105" i="14"/>
  <c r="AE105" i="14"/>
  <c r="AD105" i="14"/>
  <c r="AC105" i="14"/>
  <c r="AJ104" i="14"/>
  <c r="AI104" i="14"/>
  <c r="AH104" i="14"/>
  <c r="AG104" i="14"/>
  <c r="AF104" i="14"/>
  <c r="AE104" i="14"/>
  <c r="AD104" i="14"/>
  <c r="AC104" i="14"/>
  <c r="AK104" i="14"/>
  <c r="AJ103" i="14"/>
  <c r="AH103" i="14"/>
  <c r="AG103" i="14"/>
  <c r="AF103" i="14"/>
  <c r="AE103" i="14"/>
  <c r="AD103" i="14"/>
  <c r="AC103" i="14"/>
  <c r="AI103" i="14"/>
  <c r="AK102" i="14"/>
  <c r="AJ102" i="14"/>
  <c r="AI102" i="14"/>
  <c r="AH102" i="14"/>
  <c r="AG102" i="14"/>
  <c r="AF102" i="14"/>
  <c r="AE102" i="14"/>
  <c r="AD102" i="14"/>
  <c r="AC102" i="14"/>
  <c r="AJ101" i="14"/>
  <c r="AH101" i="14"/>
  <c r="AG101" i="14"/>
  <c r="AF101" i="14"/>
  <c r="AE101" i="14"/>
  <c r="AD101" i="14"/>
  <c r="U219" i="14"/>
  <c r="AC111" i="14"/>
  <c r="AJ111" i="14"/>
  <c r="AI111" i="14"/>
  <c r="AE144" i="14"/>
  <c r="AC106" i="14"/>
  <c r="AE109" i="14"/>
  <c r="AJ142" i="14"/>
  <c r="AK142" i="14"/>
  <c r="AK103" i="14"/>
  <c r="AF109" i="14"/>
  <c r="AK123" i="14"/>
  <c r="AI134" i="14"/>
  <c r="AK134" i="14"/>
  <c r="AF136" i="14"/>
  <c r="AF144" i="14"/>
  <c r="AI129" i="14"/>
  <c r="AK129" i="14"/>
  <c r="AI114" i="14"/>
  <c r="AJ106" i="14"/>
  <c r="AD132" i="14"/>
  <c r="AK139" i="14"/>
  <c r="AI118" i="14"/>
  <c r="AG132" i="14"/>
  <c r="AD109" i="14"/>
  <c r="AI121" i="14"/>
  <c r="AC101" i="14"/>
  <c r="AC109" i="14"/>
  <c r="AK111" i="14"/>
  <c r="AJ109" i="14"/>
  <c r="V219" i="14"/>
  <c r="AI101" i="14"/>
  <c r="AG136" i="14"/>
  <c r="AG144" i="14"/>
  <c r="AK125" i="14"/>
  <c r="AK114" i="14"/>
  <c r="AK127" i="14"/>
  <c r="AK118" i="14"/>
  <c r="AK121" i="14"/>
  <c r="AH132" i="14"/>
  <c r="AI106" i="14"/>
  <c r="AH144" i="14"/>
  <c r="AH136" i="14"/>
  <c r="AC132" i="14"/>
  <c r="AJ132" i="14"/>
  <c r="AK101" i="14"/>
  <c r="AK106" i="14"/>
  <c r="AJ144" i="14"/>
  <c r="AJ136" i="14"/>
  <c r="AI109" i="14"/>
  <c r="U217" i="14"/>
  <c r="AC144" i="14"/>
  <c r="AC136" i="14"/>
  <c r="AI132" i="14"/>
  <c r="AK109" i="14"/>
  <c r="AI144" i="14"/>
  <c r="AI136" i="14"/>
  <c r="AK132" i="14"/>
  <c r="V217" i="14"/>
  <c r="AK136" i="14"/>
  <c r="AK145" i="14"/>
  <c r="AK144" i="14"/>
  <c r="F42" i="16" l="1"/>
  <c r="K229" i="14"/>
  <c r="K251" i="14" s="1"/>
  <c r="I65" i="18"/>
  <c r="I69" i="18" s="1"/>
  <c r="P9" i="18"/>
  <c r="E65" i="18"/>
  <c r="E69" i="18" s="1"/>
  <c r="G54" i="18"/>
  <c r="N10" i="18"/>
  <c r="V221" i="14"/>
  <c r="V223" i="14" s="1"/>
  <c r="C22" i="18"/>
  <c r="C33" i="18" s="1"/>
  <c r="C39" i="18" s="1"/>
  <c r="C65" i="18" s="1"/>
  <c r="C69" i="18" s="1"/>
  <c r="G63" i="18"/>
  <c r="V224" i="14"/>
  <c r="J8" i="16"/>
  <c r="F14" i="16"/>
  <c r="U221" i="14"/>
  <c r="U223" i="14" s="1"/>
  <c r="U224" i="14"/>
  <c r="G22" i="18"/>
  <c r="G33" i="18" s="1"/>
  <c r="G39" i="18" s="1"/>
  <c r="H14" i="16"/>
  <c r="I8" i="16"/>
  <c r="K258" i="14" l="1"/>
  <c r="K252" i="14"/>
  <c r="G65" i="18"/>
  <c r="G69" i="18" s="1"/>
  <c r="I14" i="16"/>
  <c r="H20" i="16"/>
  <c r="J14" i="16"/>
  <c r="F20" i="16"/>
  <c r="G26" i="3"/>
  <c r="H26" i="3"/>
  <c r="G72" i="18"/>
  <c r="H65" i="3"/>
  <c r="K259" i="14" l="1"/>
  <c r="K267" i="14"/>
  <c r="G71" i="18"/>
  <c r="G73" i="18" s="1"/>
  <c r="H25" i="16"/>
  <c r="I25" i="16" s="1"/>
  <c r="I20" i="16"/>
  <c r="J20" i="16"/>
  <c r="F25" i="16"/>
  <c r="J25" i="16" s="1"/>
  <c r="K272" i="14" l="1"/>
  <c r="K273" i="14" s="1"/>
  <c r="K268" i="14"/>
  <c r="T73" i="12" l="1"/>
  <c r="J73" i="12" l="1"/>
  <c r="V73" i="12"/>
  <c r="T72" i="12" l="1"/>
  <c r="I88" i="12"/>
  <c r="J72" i="12"/>
  <c r="V72" i="12" l="1"/>
  <c r="J71" i="12" l="1"/>
  <c r="J70" i="12"/>
  <c r="T69" i="12" l="1"/>
  <c r="V69" i="12" l="1"/>
  <c r="J69" i="12" l="1"/>
  <c r="J74" i="12" l="1"/>
  <c r="J76" i="12"/>
  <c r="AJ47" i="1" l="1"/>
  <c r="AJ49" i="1"/>
  <c r="AJ48" i="1"/>
  <c r="AI48" i="1"/>
  <c r="AI51" i="1"/>
  <c r="AJ46" i="1"/>
  <c r="AI46" i="1"/>
  <c r="AI49" i="1" l="1"/>
  <c r="AI47" i="1"/>
  <c r="AJ51" i="1"/>
  <c r="AE14" i="1" l="1"/>
  <c r="T75" i="12" l="1"/>
  <c r="AF14" i="1"/>
  <c r="V75" i="12" l="1"/>
  <c r="AE23" i="1"/>
  <c r="AF23" i="1"/>
  <c r="AE29" i="1" l="1"/>
  <c r="AF29" i="1"/>
  <c r="AF35" i="1" l="1"/>
  <c r="AE35" i="1"/>
  <c r="AF44" i="1" l="1"/>
  <c r="AE44" i="1"/>
  <c r="AF53" i="1" l="1"/>
  <c r="AE52" i="1"/>
  <c r="AF52" i="1"/>
  <c r="T45" i="1" l="1"/>
  <c r="S45" i="1"/>
  <c r="T43" i="1"/>
  <c r="S43" i="1"/>
  <c r="S39" i="1"/>
  <c r="T39" i="1"/>
  <c r="T50" i="1"/>
  <c r="S50" i="1"/>
  <c r="T41" i="1"/>
  <c r="S41" i="1"/>
  <c r="T42" i="1"/>
  <c r="S42" i="1"/>
  <c r="T38" i="1"/>
  <c r="S38" i="1"/>
  <c r="T40" i="1"/>
  <c r="S40" i="1"/>
  <c r="AA25" i="1" l="1"/>
  <c r="AB25" i="1"/>
  <c r="AA32" i="1"/>
  <c r="AB32" i="1"/>
  <c r="AA26" i="1" l="1"/>
  <c r="AB26" i="1"/>
  <c r="AB31" i="1"/>
  <c r="AA33" i="1" l="1"/>
  <c r="AB33" i="1"/>
  <c r="AB21" i="1" l="1"/>
  <c r="AA21" i="1"/>
  <c r="AA27" i="1" l="1"/>
  <c r="AB27" i="1"/>
  <c r="AA18" i="1" l="1"/>
  <c r="AI14" i="1"/>
  <c r="AB14" i="1"/>
  <c r="AA13" i="1"/>
  <c r="AB18" i="1" l="1"/>
  <c r="AB13" i="1"/>
  <c r="AF16" i="1" l="1"/>
  <c r="AF13" i="1"/>
  <c r="AE13" i="1"/>
  <c r="AJ13" i="1"/>
  <c r="AI13" i="1" l="1"/>
  <c r="AG16" i="1"/>
  <c r="AF19" i="1"/>
  <c r="AF18" i="1"/>
  <c r="AE18" i="1"/>
  <c r="AJ18" i="1"/>
  <c r="AG19" i="1" l="1"/>
  <c r="AI18" i="1"/>
  <c r="AE21" i="1"/>
  <c r="AF21" i="1"/>
  <c r="AJ21" i="1"/>
  <c r="AG23" i="1" l="1"/>
  <c r="AG29" i="1" s="1"/>
  <c r="AG35" i="1" s="1"/>
  <c r="AI21" i="1"/>
  <c r="AG44" i="1" l="1"/>
  <c r="AE27" i="1"/>
  <c r="AF27" i="1"/>
  <c r="AE25" i="1"/>
  <c r="AF25" i="1"/>
  <c r="AI25" i="1"/>
  <c r="AF26" i="1"/>
  <c r="AI26" i="1"/>
  <c r="AE26" i="1"/>
  <c r="AI27" i="1" l="1"/>
  <c r="AJ26" i="1"/>
  <c r="AJ27" i="1"/>
  <c r="AJ25" i="1"/>
  <c r="AF31" i="1"/>
  <c r="AE32" i="1"/>
  <c r="AF32" i="1"/>
  <c r="AI32" i="1"/>
  <c r="AI31" i="1"/>
  <c r="AJ31" i="1" l="1"/>
  <c r="AG33" i="1"/>
  <c r="AJ32" i="1"/>
  <c r="AI33" i="1" l="1"/>
  <c r="AJ33" i="1"/>
  <c r="AG36" i="1"/>
  <c r="AG52" i="1" l="1"/>
  <c r="AG53" i="1" l="1"/>
  <c r="S36" i="12" l="1"/>
  <c r="S61" i="12" l="1"/>
  <c r="S65" i="12" l="1"/>
  <c r="AB42" i="1" l="1"/>
  <c r="AJ42" i="1" l="1"/>
  <c r="AI42" i="1"/>
  <c r="AJ41" i="1"/>
  <c r="AI41" i="1"/>
  <c r="AB41" i="1"/>
  <c r="AA41" i="1"/>
  <c r="AJ40" i="1" l="1"/>
  <c r="AI40" i="1"/>
  <c r="AB40" i="1"/>
  <c r="AA40" i="1"/>
  <c r="AB39" i="1" l="1"/>
  <c r="AA39" i="1"/>
  <c r="AI39" i="1" l="1"/>
  <c r="AJ39" i="1"/>
  <c r="AB38" i="1" l="1"/>
  <c r="AA38" i="1"/>
  <c r="AI38" i="1" l="1"/>
  <c r="AJ38" i="1"/>
  <c r="AA6" i="1" l="1"/>
  <c r="AB6" i="1"/>
  <c r="AI6" i="1" l="1"/>
  <c r="AJ6" i="1"/>
  <c r="AB5" i="1"/>
  <c r="AA5" i="1"/>
  <c r="AB4" i="1"/>
  <c r="AA4" i="1"/>
  <c r="AI5" i="1" l="1"/>
  <c r="AJ5" i="1"/>
  <c r="AJ4" i="1"/>
  <c r="AI4" i="1"/>
  <c r="AA3" i="1"/>
  <c r="AB3" i="1"/>
  <c r="AB16" i="1" l="1"/>
  <c r="AB19" i="1"/>
  <c r="AA8" i="1"/>
  <c r="AB8" i="1"/>
  <c r="AB50" i="1" l="1"/>
  <c r="AA50" i="1"/>
  <c r="AB11" i="1"/>
  <c r="AA10" i="1"/>
  <c r="AB10" i="1"/>
  <c r="AJ50" i="1" l="1"/>
  <c r="AI50" i="1"/>
  <c r="AB23" i="1"/>
  <c r="AA23" i="1"/>
  <c r="AB29" i="1" l="1"/>
  <c r="AA29" i="1"/>
  <c r="AB36" i="1" l="1"/>
  <c r="AA35" i="1"/>
  <c r="AB35" i="1"/>
  <c r="AB45" i="1" l="1"/>
  <c r="AA45" i="1"/>
  <c r="AA43" i="1"/>
  <c r="AB43" i="1"/>
  <c r="AJ45" i="1" l="1"/>
  <c r="AI45" i="1"/>
  <c r="AJ43" i="1"/>
  <c r="AI43" i="1"/>
  <c r="AB44" i="1"/>
  <c r="AA44" i="1"/>
  <c r="AB53" i="1" l="1"/>
  <c r="AA52" i="1"/>
  <c r="AB52" i="1"/>
  <c r="G31" i="3" l="1"/>
  <c r="H31" i="3"/>
  <c r="F67" i="3" l="1"/>
  <c r="H54" i="3"/>
  <c r="G54" i="3"/>
  <c r="F68" i="3" l="1"/>
  <c r="G67" i="3"/>
  <c r="H67" i="3"/>
  <c r="T70" i="12" l="1"/>
  <c r="R10" i="12" l="1"/>
  <c r="Q10" i="12"/>
  <c r="U23" i="12"/>
  <c r="V23" i="12"/>
  <c r="V70" i="12"/>
  <c r="Q23" i="12" l="1"/>
  <c r="R23" i="12"/>
  <c r="R30" i="12" l="1"/>
  <c r="Q30" i="12"/>
  <c r="T71" i="12"/>
  <c r="V36" i="12" l="1"/>
  <c r="U36" i="12"/>
  <c r="V71" i="12"/>
  <c r="T74" i="12"/>
  <c r="Q27" i="12" l="1"/>
  <c r="R27" i="12"/>
  <c r="V61" i="12"/>
  <c r="U61" i="12"/>
  <c r="R36" i="12"/>
  <c r="Q36" i="12"/>
  <c r="V74" i="12"/>
  <c r="T76" i="12"/>
  <c r="V76" i="12" s="1"/>
  <c r="V65" i="12" l="1"/>
  <c r="U65" i="12"/>
  <c r="R61" i="12"/>
  <c r="Q61" i="12"/>
  <c r="R65" i="12" l="1"/>
  <c r="Q65" i="12"/>
  <c r="R8" i="1" l="1"/>
  <c r="S3" i="1"/>
  <c r="T3" i="1"/>
  <c r="R10" i="1" l="1"/>
  <c r="T10" i="1" s="1"/>
  <c r="R19" i="1"/>
  <c r="T19" i="1" s="1"/>
  <c r="R16" i="1"/>
  <c r="T16" i="1" s="1"/>
  <c r="S8" i="1"/>
  <c r="T8" i="1"/>
  <c r="AI3" i="1"/>
  <c r="AJ3" i="1"/>
  <c r="AH8" i="1"/>
  <c r="S10" i="1" l="1"/>
  <c r="R23" i="1"/>
  <c r="R29" i="1" s="1"/>
  <c r="R11" i="1"/>
  <c r="T11" i="1" s="1"/>
  <c r="T23" i="1"/>
  <c r="AH16" i="1"/>
  <c r="AJ16" i="1" s="1"/>
  <c r="AJ8" i="1"/>
  <c r="AH19" i="1"/>
  <c r="AJ19" i="1" s="1"/>
  <c r="AH10" i="1"/>
  <c r="AI8" i="1"/>
  <c r="S23" i="1" l="1"/>
  <c r="R35" i="1"/>
  <c r="T29" i="1"/>
  <c r="S29" i="1"/>
  <c r="AJ10" i="1"/>
  <c r="AH23" i="1"/>
  <c r="AH29" i="1" s="1"/>
  <c r="AH35" i="1" s="1"/>
  <c r="AH11" i="1"/>
  <c r="AJ11" i="1" s="1"/>
  <c r="AI10" i="1"/>
  <c r="AH44" i="1" l="1"/>
  <c r="AH52" i="1" s="1"/>
  <c r="AH36" i="1"/>
  <c r="R44" i="1"/>
  <c r="T35" i="1"/>
  <c r="S35" i="1"/>
  <c r="R36" i="1"/>
  <c r="T36" i="1" s="1"/>
  <c r="AI23" i="1"/>
  <c r="AJ23" i="1"/>
  <c r="AH53" i="1" l="1"/>
  <c r="R52" i="1"/>
  <c r="S44" i="1"/>
  <c r="T44" i="1"/>
  <c r="AJ29" i="1"/>
  <c r="AI29" i="1"/>
  <c r="S52" i="1" l="1"/>
  <c r="T52" i="1"/>
  <c r="R53" i="1"/>
  <c r="T53" i="1" s="1"/>
  <c r="AI35" i="1"/>
  <c r="AJ35" i="1"/>
  <c r="AJ36" i="1"/>
  <c r="AJ44" i="1" l="1"/>
  <c r="AI44" i="1"/>
  <c r="AJ53" i="1" l="1"/>
  <c r="AI52" i="1"/>
  <c r="AJ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helio</author>
  </authors>
  <commentList>
    <comment ref="P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  <comment ref="R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  <comment ref="G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  <comment ref="I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helio</author>
    <author>Ana Maria</author>
    <author>Helio</author>
    <author>Usuario</author>
  </authors>
  <commentList>
    <comment ref="C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Aplicações em debêntures com liberação em julho e setembro</t>
        </r>
      </text>
    </comment>
    <comment ref="C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12.506
  SD DE  PERMUTA port 2000 no tot dup
</t>
        </r>
      </text>
    </comment>
    <comment ref="C1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technos e dumont</t>
        </r>
      </text>
    </comment>
    <comment ref="C15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adiant. fornecedores estrang.</t>
        </r>
      </text>
    </comment>
    <comment ref="K15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vr. estoques não realizados oriundos de vendas entre empresas, apurados no MEP</t>
        </r>
      </text>
    </comment>
    <comment ref="C18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adiant. fornecedores estrang.</t>
        </r>
      </text>
    </comment>
    <comment ref="C19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12274
= SD DE  PERMUTA
</t>
        </r>
      </text>
    </comment>
    <comment ref="C2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IR RET DIV  E FINSOCIAL SEIKO
</t>
        </r>
      </text>
    </comment>
    <comment ref="C25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CARTA FIANÇA NO HSBAC ZEROU EM 02-2014 E APLICAÇÃO CTA EXCROW</t>
        </r>
      </text>
    </comment>
    <comment ref="C29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Ana Maria:
SD CTA                      REF VENDA IMOVEL SÃO PAULO, BAIXADO NO CONTROLE PATRIM. POREM VENDA NÃO CONCLUIDA , COMPRADOR PAGOU VR TOTAL REF PREÇO COMO DEPOSITO CAUÇÃO ATÉ QUE ESCRITURA SEJA CONCLUIDA</t>
        </r>
      </text>
    </comment>
    <comment ref="C35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ctas 133.42.030
133.42.800
133.42.801
</t>
        </r>
      </text>
    </comment>
    <comment ref="J54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VR FINIMP PRIC.
9.774 * 2,3334
+ JUROS 303</t>
        </r>
      </text>
    </comment>
    <comment ref="C60" authorId="2" shapeId="0" xr:uid="{00000000-0006-0000-0200-00000D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VER RECLASSIFICAÇÕES
614 e 967 = reclassific para fornec de Adto de clientes e Outras conta a pagar (cfe DF patrimonial)</t>
        </r>
      </text>
    </comment>
    <comment ref="K61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5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- 24.5414            VR. ESCROW  ACIONISTAS ORIGINAIS 
221.09.010
</t>
        </r>
      </text>
    </comment>
    <comment ref="C70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ANTIGOS ACIONISTAS    221.09.010</t>
        </r>
      </text>
    </comment>
    <comment ref="K76" authorId="3" shapeId="0" xr:uid="{00000000-0006-0000-0200-00001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47 = AJUSTE NÃO MEPEAMENTO DA TECHNOS SUIÇA</t>
        </r>
      </text>
    </comment>
    <comment ref="F82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381 = capitalização dividendos 10/2012</t>
        </r>
      </text>
    </comment>
    <comment ref="C85" authorId="2" shapeId="0" xr:uid="{00000000-0006-0000-0200-000013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15.580 - 15.489 = DIV PROPOSTO EM 31/03/10 - DIV PAGO
1 = AJUSTE</t>
        </r>
      </text>
    </comment>
    <comment ref="Q87" authorId="2" shapeId="0" xr:uid="{00000000-0006-0000-0200-000014000000}">
      <text>
        <r>
          <rPr>
            <b/>
            <sz val="8"/>
            <color indexed="81"/>
            <rFont val="Tahoma"/>
            <family val="2"/>
          </rPr>
          <t>Helio:r$ 10.309 = AMORTIZAÇÃO PRINCIPAL 2009
R$ 12.009 = amort principal fip 2010
R$ 104 = ajuste</t>
        </r>
      </text>
    </comment>
    <comment ref="F123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Ajustado com os encargos sociais</t>
        </r>
      </text>
    </comment>
    <comment ref="K213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base fator</t>
        </r>
      </text>
    </comment>
    <comment ref="U216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160 = depreciação dumont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tc={F88EE2BD-79A2-41E9-8FB6-6203FD370738}</author>
  </authors>
  <commentList>
    <comment ref="A9" authorId="0" shapeId="0" xr:uid="{F88EE2BD-79A2-41E9-8FB6-6203FD37073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CMV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Helio</author>
    <author>HELIO</author>
    <author>helio</author>
    <author>Usuario</author>
  </authors>
  <commentList>
    <comment ref="I1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2847 + 1070 + 109+77
 = fip e mhg sd
2073 = fip gmt
1050 = emprést tasa</t>
        </r>
      </text>
    </comment>
    <comment ref="C21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Ajuste</t>
        </r>
      </text>
    </comment>
    <comment ref="G21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Ajuste =5
</t>
        </r>
      </text>
    </comment>
    <comment ref="I21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Ajuste</t>
        </r>
      </text>
    </comment>
    <comment ref="I2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9725 (9725-5160-587-1065) = TOTAL DE ANTECIPAÇÕES, já deduzido o valor de IR/CSL compensado com o passivo do exercicio corrente.
Demais valores = compensações com créditos
430 e 334 = IR/CSL reconhecido no resultado (março e junho) acertos da provisão e apuração final de DIPJ,  porém pago com compensação de créditos de exercício anteriores.</t>
        </r>
      </text>
    </comment>
    <comment ref="C30" authorId="2" shapeId="0" xr:uid="{00000000-0006-0000-0400-000006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3512 = EARN OUT</t>
        </r>
      </text>
    </comment>
    <comment ref="G30" authorId="2" shapeId="0" xr:uid="{00000000-0006-0000-0400-000007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3512 = EARN OUT</t>
        </r>
      </text>
    </comment>
    <comment ref="I4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saldo 31/12 (2 parcelas) dívidido por 2. Os juros de 2011 já foram considerados em linha própria</t>
        </r>
      </text>
    </comment>
    <comment ref="G58" authorId="3" shapeId="0" xr:uid="{00000000-0006-0000-0400-000009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221 = comissão lançamento NP</t>
        </r>
      </text>
    </comment>
  </commentList>
</comments>
</file>

<file path=xl/sharedStrings.xml><?xml version="1.0" encoding="utf-8"?>
<sst xmlns="http://schemas.openxmlformats.org/spreadsheetml/2006/main" count="925" uniqueCount="544">
  <si>
    <t>%</t>
  </si>
  <si>
    <t>R$</t>
  </si>
  <si>
    <t>Lucro Bruto</t>
  </si>
  <si>
    <t>Depreciação e Amortização</t>
  </si>
  <si>
    <t>Margem Bruta</t>
  </si>
  <si>
    <t>Margem EBITDA</t>
  </si>
  <si>
    <t>Margem Líquida Ajustada</t>
  </si>
  <si>
    <t>Margem Líquida</t>
  </si>
  <si>
    <t>Fluxos de caixa das atividades operacionais</t>
  </si>
  <si>
    <t>Lucro antes do Imposto de renda e da contribuição social</t>
  </si>
  <si>
    <t>Ajuste de itens que não afetam o caixa</t>
  </si>
  <si>
    <t>Amortização e depreciação</t>
  </si>
  <si>
    <t>Provisão para valor recuperável de contas a receber</t>
  </si>
  <si>
    <t>Resultado na venda de ativos permanentes</t>
  </si>
  <si>
    <t>Impairment bens de ativos permanentes</t>
  </si>
  <si>
    <t>Juros sobre empréstimos</t>
  </si>
  <si>
    <t>Prêmio de opção de ações</t>
  </si>
  <si>
    <t>Outros</t>
  </si>
  <si>
    <t>Variações nos ativos e passivos</t>
  </si>
  <si>
    <t>Redução (aumento) nos estoques</t>
  </si>
  <si>
    <t>Redução (aumento) nos impostos a recuperar</t>
  </si>
  <si>
    <t>Aumento (redução) em fornecedores e contas a pagar</t>
  </si>
  <si>
    <t>Aumento (redução) em impostos, taxas e contribuições sociais a pagar</t>
  </si>
  <si>
    <t>Juros pagos</t>
  </si>
  <si>
    <t>Imposto de renda e contribuição social pagos</t>
  </si>
  <si>
    <t>Fluxos de caixa das atividades de investimento</t>
  </si>
  <si>
    <t>Compras de imobilizado</t>
  </si>
  <si>
    <t>Fluxos de caixa das atividades de financiamento</t>
  </si>
  <si>
    <t>Dividendos pagos aos acionistas da Companhia</t>
  </si>
  <si>
    <t>Aumento (redução) de caixa e equivalentes de caixa</t>
  </si>
  <si>
    <t>Ativo</t>
  </si>
  <si>
    <t>Circulante</t>
  </si>
  <si>
    <t>Dividendos a receber</t>
  </si>
  <si>
    <t>Impostos a recuperar</t>
  </si>
  <si>
    <t>Outros ativos</t>
  </si>
  <si>
    <t>Não circulante</t>
  </si>
  <si>
    <t>Realizável a longo prazo</t>
  </si>
  <si>
    <t>Depósitos judiciais</t>
  </si>
  <si>
    <t>Total do ativo</t>
  </si>
  <si>
    <t>Passivo e patrimônio líquido</t>
  </si>
  <si>
    <t>Fornecedores</t>
  </si>
  <si>
    <t>Impostos, taxas e contribuições sociais a pagar</t>
  </si>
  <si>
    <t>Salários e encargos sociais a pagar</t>
  </si>
  <si>
    <t>Licenciamentos a pagar</t>
  </si>
  <si>
    <t>Outras contas a pagar</t>
  </si>
  <si>
    <t>Provisão para contingências</t>
  </si>
  <si>
    <t>Capital social</t>
  </si>
  <si>
    <t>Gastos com emissão de ações</t>
  </si>
  <si>
    <t>Reservas de capital</t>
  </si>
  <si>
    <t>Reservas de lucros</t>
  </si>
  <si>
    <t>Ajuste de avaliação patrimonial</t>
  </si>
  <si>
    <t>Total do patrimônio líquido</t>
  </si>
  <si>
    <t>Despesas com Vendas</t>
  </si>
  <si>
    <t>Redução (aumento) nos outros ativos</t>
  </si>
  <si>
    <t>EBITDA (CVM)</t>
  </si>
  <si>
    <t>Participação dos não controladores</t>
  </si>
  <si>
    <t>RELEASE</t>
  </si>
  <si>
    <t>LUCRO ANTES DO IR/CSLL</t>
  </si>
  <si>
    <t>(+/-) Ajustes que não afetam caixa</t>
  </si>
  <si>
    <t>(+/-) Atividades operacionais</t>
  </si>
  <si>
    <t>(+/-) Atividades de investimento</t>
  </si>
  <si>
    <t>(+/-) Atividades de financiamento</t>
  </si>
  <si>
    <t>(=) Aumento (redução) de caixa</t>
  </si>
  <si>
    <t>(+) Caixa Inicial</t>
  </si>
  <si>
    <t>(=) Caixa Final</t>
  </si>
  <si>
    <t>TVM</t>
  </si>
  <si>
    <t>Redução (aumento) de titulos e valores mobiliarios circulante</t>
  </si>
  <si>
    <t>Redução (aumento) de titulos e valores mobiliarios não circulante</t>
  </si>
  <si>
    <t>Investimento em ativo fixo</t>
  </si>
  <si>
    <t>Investimento conta escrow</t>
  </si>
  <si>
    <t>Participação de não controladores</t>
  </si>
  <si>
    <t>TECHNOS S.A.</t>
  </si>
  <si>
    <t>DEMONSTRAÇÕES FINANCEIRAS CONSOLIDADAS</t>
  </si>
  <si>
    <t>TASA</t>
  </si>
  <si>
    <t>TSUIÇA</t>
  </si>
  <si>
    <t>SCS</t>
  </si>
  <si>
    <t>TECHNOS</t>
  </si>
  <si>
    <t>TOUCH</t>
  </si>
  <si>
    <t>Dumont</t>
  </si>
  <si>
    <t>TOTAL</t>
  </si>
  <si>
    <t xml:space="preserve">AJUSTE DE </t>
  </si>
  <si>
    <t>AJUSTE</t>
  </si>
  <si>
    <t>ITEM</t>
  </si>
  <si>
    <t>RECLASSIFICAÇÕES</t>
  </si>
  <si>
    <t>CONSOLIDAÇÃO</t>
  </si>
  <si>
    <t>CONSOLIDADO</t>
  </si>
  <si>
    <t>AJUSTE TASA</t>
  </si>
  <si>
    <t>AJUSTE SCS</t>
  </si>
  <si>
    <t>AJUSTE GMT</t>
  </si>
  <si>
    <t>GMT</t>
  </si>
  <si>
    <t>CAIXA E APLICAÇÕES</t>
  </si>
  <si>
    <t xml:space="preserve">     CAIXA E BANCOS</t>
  </si>
  <si>
    <t xml:space="preserve">     APLICAÇÕES</t>
  </si>
  <si>
    <t xml:space="preserve">     TITULOS E VALORES MOBILIARIOS</t>
  </si>
  <si>
    <t xml:space="preserve"> CONTAS A RECEBER (CLIENTES)</t>
  </si>
  <si>
    <t xml:space="preserve"> AVP DE DUPLICATAS A RECEBER</t>
  </si>
  <si>
    <t xml:space="preserve"> ESTOQUES (+ ADTO A FORNECEDORES)</t>
  </si>
  <si>
    <t>IMPOSTOS A RECUPERAR</t>
  </si>
  <si>
    <t>IMPOSTOS DE RENDA E CSLL DIFERIDOS</t>
  </si>
  <si>
    <t>ADIANTAMENTOS A FORNECEDORES</t>
  </si>
  <si>
    <t xml:space="preserve"> OUTRAS CONTAS A RECEBER</t>
  </si>
  <si>
    <t>DIVIDENDOS A RECEBER</t>
  </si>
  <si>
    <t>ATIVO CIRCULANTE</t>
  </si>
  <si>
    <t xml:space="preserve"> ADIANTAMENTO A FORNECEDORES</t>
  </si>
  <si>
    <t xml:space="preserve"> IMPOSTOS A RECUPERAR</t>
  </si>
  <si>
    <t xml:space="preserve"> TITULOS E VALORES MOBILIARIOS</t>
  </si>
  <si>
    <t xml:space="preserve"> IMPOSTOS DE RENDA E CSLL DIFERIDOS</t>
  </si>
  <si>
    <t xml:space="preserve"> OUTRAS CONTAS A RECEBER NÃO CIRCULANTE</t>
  </si>
  <si>
    <t xml:space="preserve"> DEPÓSITOS JUDICIAIS</t>
  </si>
  <si>
    <t xml:space="preserve"> IMÓVEIS DESTINADOS A VENDA</t>
  </si>
  <si>
    <t>ATIVO REALIZAVEL LP</t>
  </si>
  <si>
    <t xml:space="preserve"> INVESTIMENTOS EM CONTROLADAS</t>
  </si>
  <si>
    <t xml:space="preserve"> AGIO NA AQUISIÇÃO DE INVESTIMENTO EM CONTROLADAS</t>
  </si>
  <si>
    <t xml:space="preserve"> INVESTIMENTOS OUTROS</t>
  </si>
  <si>
    <t xml:space="preserve"> IMOBILIZADO</t>
  </si>
  <si>
    <t xml:space="preserve"> INTANGIVEL</t>
  </si>
  <si>
    <t>PERMANENTE</t>
  </si>
  <si>
    <t>ATIVO TOTAL</t>
  </si>
  <si>
    <t xml:space="preserve"> </t>
  </si>
  <si>
    <t>AJUSTE SD</t>
  </si>
  <si>
    <t>SD</t>
  </si>
  <si>
    <t xml:space="preserve"> EMPRESTIMOS BANCARIOS</t>
  </si>
  <si>
    <t xml:space="preserve"> FORNECEDORES</t>
  </si>
  <si>
    <t xml:space="preserve"> IMPOSTOS E CONTRIBUIÇÕES</t>
  </si>
  <si>
    <t xml:space="preserve"> SALARIOS/ENC SOCIAIS A PAGAR</t>
  </si>
  <si>
    <t>LICENCIAMENTOS A PAGAR</t>
  </si>
  <si>
    <t xml:space="preserve"> OUTRAS CONTAS A PAGAR</t>
  </si>
  <si>
    <t xml:space="preserve">     OUTRAS CONTAS A PAGAR</t>
  </si>
  <si>
    <t xml:space="preserve"> DIVIDENDOS A PAGAR E RESGATE DE AÇÕES</t>
  </si>
  <si>
    <t>PASSIVO CIRCULANTE</t>
  </si>
  <si>
    <t>EMPRÉSTIMOS</t>
  </si>
  <si>
    <t>ADIANTAMENTO PARA FUTURO AUMENTO DE CAPITAL</t>
  </si>
  <si>
    <t>IMPOSTOS A PAGAR</t>
  </si>
  <si>
    <t xml:space="preserve"> PROVISÃO PARA CONTINGÊNCIAS</t>
  </si>
  <si>
    <t>VALOR A PAGAR POR AQUISICAO DE PARTICIPACAO SOCIETARIA</t>
  </si>
  <si>
    <t>OUTRAS CONTAS A PAGAR NÃO CIRCULANTE</t>
  </si>
  <si>
    <t>EXIGÍVEL A LONGO PRAZO</t>
  </si>
  <si>
    <t xml:space="preserve"> CONTROLADAS CONSOLIDADAS</t>
  </si>
  <si>
    <t>PARTICIPACOES DE NÃO CONTROLADORES</t>
  </si>
  <si>
    <t>Base DFs 31/12/12</t>
  </si>
  <si>
    <t>ANTES</t>
  </si>
  <si>
    <t xml:space="preserve"> CAPITAL SOCIAL ATUALIZADO</t>
  </si>
  <si>
    <t xml:space="preserve">    CAPITAL SOCIAL</t>
  </si>
  <si>
    <t xml:space="preserve">     CM DO CAPITAL SOCIAL</t>
  </si>
  <si>
    <t xml:space="preserve"> RESERVAS DE CAPITAL</t>
  </si>
  <si>
    <t>RESERVAS DE LUCROS</t>
  </si>
  <si>
    <t>AJUSTE DE AVALIAÇÃO PATRIMONIAL</t>
  </si>
  <si>
    <t xml:space="preserve"> LUCRO (PREJUÍZO) DO EXERCÍCIO</t>
  </si>
  <si>
    <t>PATRIMONIO LIQUIDO</t>
  </si>
  <si>
    <t>PASSIVO TOTAL</t>
  </si>
  <si>
    <t>RECEITA BRUTA DE VENDAS</t>
  </si>
  <si>
    <t>AJUSTE A VALOR PRESENTE DE VENDAS</t>
  </si>
  <si>
    <t>MENOS: IMPOSTOS S/ VENDAS</t>
  </si>
  <si>
    <t>IMPOSTOS INCIDENTES S/ AVP</t>
  </si>
  <si>
    <t>RECEITA LIQUIDA DE VENDAS</t>
  </si>
  <si>
    <t>LUCRO NÃO REALIZADO SELL OUT SCS 2014</t>
  </si>
  <si>
    <t>CUSTO MERC. VENDIDAS</t>
  </si>
  <si>
    <t>CMV TASA VENDAS SCS 2014</t>
  </si>
  <si>
    <t>LUCRO NÃO REALIZADO VENDAS SCS 2014</t>
  </si>
  <si>
    <t>LUCRO BRUTO</t>
  </si>
  <si>
    <t>LUCRO NÃO REALIZADO SELL IN SCS 2014</t>
  </si>
  <si>
    <t>EQUIVALENCIA PATRIMONIAL</t>
  </si>
  <si>
    <t>VENDAS TASA 2014 - CUSTO ESTOQUE SCS</t>
  </si>
  <si>
    <t>CMV TASA VENDAS TASA 2014</t>
  </si>
  <si>
    <t>RECEITAS FINANCEIRAS</t>
  </si>
  <si>
    <t>LUCRO NÃO REALIZADO VENDAS TASA 2014</t>
  </si>
  <si>
    <t>RECEITAS FINANCEIRAS - REVERSÃO AVP</t>
  </si>
  <si>
    <t>DESPESAS COM VENDAS</t>
  </si>
  <si>
    <t>MOVIMENTAÇÃO LUCRO NÃO REALIZADO</t>
  </si>
  <si>
    <t>ESTOQUE</t>
  </si>
  <si>
    <t xml:space="preserve"> PROPAGANDA E PUBLICIDADE</t>
  </si>
  <si>
    <t>ENTRADAS ESTOQUE SCS</t>
  </si>
  <si>
    <t>C</t>
  </si>
  <si>
    <t xml:space="preserve"> ORDENAD/COMISSOES S/ VENDAS</t>
  </si>
  <si>
    <t>SAIDAS ESTOQUE SCS</t>
  </si>
  <si>
    <t>D</t>
  </si>
  <si>
    <t xml:space="preserve"> PROVISAO CRED LIQUID DUVID</t>
  </si>
  <si>
    <t>EFEITO LÍQUIDO NO CMV</t>
  </si>
  <si>
    <t xml:space="preserve"> FRETES, ASSIST. TECNICA ETC.</t>
  </si>
  <si>
    <t>GASTOS GERAIS</t>
  </si>
  <si>
    <t xml:space="preserve"> HONORARIOS DIRETORIA</t>
  </si>
  <si>
    <t xml:space="preserve"> DESPESAS ADMINISTRATIVAS</t>
  </si>
  <si>
    <t xml:space="preserve"> DESPESAS FINANCEIRAS</t>
  </si>
  <si>
    <t xml:space="preserve"> DEPRECIACAO E AMORTIZACAO</t>
  </si>
  <si>
    <t>OUTRAS RECEITAS (DESPESAS) OPERACIONAIS, LÍQUIDOS</t>
  </si>
  <si>
    <t xml:space="preserve">  PROVISÃO PARA CONTINGÊNCIAS</t>
  </si>
  <si>
    <t>LUCRO OPERACIONAL</t>
  </si>
  <si>
    <t>RESULTADO NA VENDA DE ATIVOS FIXOS</t>
  </si>
  <si>
    <t>RESULTADO ANTES IR/PARTIC</t>
  </si>
  <si>
    <t>CONTRIBUICAO SOCIAL</t>
  </si>
  <si>
    <t>IMPOSTO DE RENDA NORMAL</t>
  </si>
  <si>
    <t>IMPOSTO DE RENDA/CSL DIFERIDOS</t>
  </si>
  <si>
    <t>PARTICIPACAO DOS EMPREGADOS</t>
  </si>
  <si>
    <t>PARTICIPACAO DE NÃO CONTROLADORES</t>
  </si>
  <si>
    <t>RESULTADO LÍQUIDO DO PERÍODO</t>
  </si>
  <si>
    <t>RESULTADO</t>
  </si>
  <si>
    <t xml:space="preserve">Receita Bruta de Vendas </t>
  </si>
  <si>
    <t>PROJEÇÃO EBTIDA DEBENTURES - 31/10/13</t>
  </si>
  <si>
    <t>Venda Comissionada</t>
  </si>
  <si>
    <t>EBTIDA TASA</t>
  </si>
  <si>
    <t>Fretes Recuperados</t>
  </si>
  <si>
    <t>LUCRO A IR/CSL</t>
  </si>
  <si>
    <t>Assistencia Técnica</t>
  </si>
  <si>
    <t>&lt;-&gt; RF</t>
  </si>
  <si>
    <t>&lt;+&gt; DF</t>
  </si>
  <si>
    <t>Ajuste a Valor Presente de Vendas</t>
  </si>
  <si>
    <t>&lt;+&gt; DEPR</t>
  </si>
  <si>
    <t>Efeito Cut Off nas Vendas</t>
  </si>
  <si>
    <t>EBTIDA</t>
  </si>
  <si>
    <t>Efeito Cut Off no AVP das Vendas</t>
  </si>
  <si>
    <t>Impostos Incidentes Sobre as Vendas</t>
  </si>
  <si>
    <t>DÍVIDA LÍQUIDA</t>
  </si>
  <si>
    <t>Impostos Sobre as Vendas de Relógios</t>
  </si>
  <si>
    <t>Impostos Sobre Assistencia Técnica</t>
  </si>
  <si>
    <t>IND FINANC DEBENTURE</t>
  </si>
  <si>
    <t>Ajuste a Valor Presente dos Impostos</t>
  </si>
  <si>
    <t>Efeito do Cut Off nos Impostos</t>
  </si>
  <si>
    <t>GAP INDICADOR</t>
  </si>
  <si>
    <t>Receita Líquida de Vendas</t>
  </si>
  <si>
    <t>GAP FINANCEIRO</t>
  </si>
  <si>
    <t>Custo de Vendas</t>
  </si>
  <si>
    <t>Vendas de Relógios</t>
  </si>
  <si>
    <t>Efeito do Cut Off no CMV</t>
  </si>
  <si>
    <t>Despesas com Publicidade</t>
  </si>
  <si>
    <t>Outras Despesas com Vendas</t>
  </si>
  <si>
    <t>Despesas Gerais &amp; Administrativas</t>
  </si>
  <si>
    <t>Honorários da Diretoria</t>
  </si>
  <si>
    <t>Outros, Líquidos</t>
  </si>
  <si>
    <t>Outras Rec/(Desp) Operacionais</t>
  </si>
  <si>
    <t>Provisão para Contingências</t>
  </si>
  <si>
    <t>Resultado Não Operacional</t>
  </si>
  <si>
    <t>Provisionamento Mensal PLR</t>
  </si>
  <si>
    <t>(Receita)/Despesa Financeira Líquida</t>
  </si>
  <si>
    <t>Despesas</t>
  </si>
  <si>
    <t>Receitas</t>
  </si>
  <si>
    <t>Receitas - Reversão AVP</t>
  </si>
  <si>
    <t>Contribuição Social</t>
  </si>
  <si>
    <t xml:space="preserve">Imposto de Renda </t>
  </si>
  <si>
    <t>IR/CSLL Diferidos</t>
  </si>
  <si>
    <t>Lucro/(Prejuízo) Líquido Contábil</t>
  </si>
  <si>
    <t>RECONCILIAÇÕES REPORTING</t>
  </si>
  <si>
    <t>(+) Passivo Fiscal Diferido</t>
  </si>
  <si>
    <t>(+/-) Provisões para Contingências Não-Operacionais</t>
  </si>
  <si>
    <t>(+/-) Outros Não-Recorrentes / Não-Operacionais</t>
  </si>
  <si>
    <t>(=) Lucro Líquido Ajustado</t>
  </si>
  <si>
    <t>(+) Depreciação e Amortização</t>
  </si>
  <si>
    <t>(+) Outras Despesas Não-Caixa</t>
  </si>
  <si>
    <t>(-) Receitas Financeiras Líquidas</t>
  </si>
  <si>
    <t>(+) Contribuição Social</t>
  </si>
  <si>
    <t xml:space="preserve">(+) Imposto de Renda </t>
  </si>
  <si>
    <t>(+) Impostos Diferidos</t>
  </si>
  <si>
    <t>(=) EBITDA</t>
  </si>
  <si>
    <t>(+) Receitas Financeiras do AVP</t>
  </si>
  <si>
    <t>(+/-) Diferencial do AVP</t>
  </si>
  <si>
    <t>(=) EBITDA Ajustado</t>
  </si>
  <si>
    <t>Margem EBITDA Ajustado</t>
  </si>
  <si>
    <t>CONTROLADORA</t>
  </si>
  <si>
    <t>Lucro bruto</t>
  </si>
  <si>
    <t>Receitas financeiras</t>
  </si>
  <si>
    <t>Despesas financeiras</t>
  </si>
  <si>
    <t>Lucro antes do imposto de renda e da contribuição social</t>
  </si>
  <si>
    <t>Imposto de renda e contribuição social</t>
  </si>
  <si>
    <t>Atribuível a</t>
  </si>
  <si>
    <t>Acionistas da Companhia</t>
  </si>
  <si>
    <t>Controladora</t>
  </si>
  <si>
    <t>Consolidado</t>
  </si>
  <si>
    <t>Receita líquida (nota 21)</t>
  </si>
  <si>
    <t>Custo das vendas (nota 22)</t>
  </si>
  <si>
    <t>Despesas com vendas (nota 22)</t>
  </si>
  <si>
    <t>Despesas administrativas (nota 22)</t>
  </si>
  <si>
    <t>Outras receitas (despesas), líquidas (nota 22)</t>
  </si>
  <si>
    <t>Participação nos lucros de subsidiárias (nota 14)</t>
  </si>
  <si>
    <t>Lucro operacional</t>
  </si>
  <si>
    <t>Resultado financeiro, líquido (nota 23)</t>
  </si>
  <si>
    <t>Corrente (nota 18(b))</t>
  </si>
  <si>
    <t>Diferido (nota 18(b))</t>
  </si>
  <si>
    <t>Lucro líquido (prejuízo) do período atribuído aos acionistas</t>
  </si>
  <si>
    <t>Lucro (prejuízo) por ação atribuível aos acionistas da Companhia</t>
  </si>
  <si>
    <t>(expresso em R$ por ação)</t>
  </si>
  <si>
    <t>Quant ações</t>
  </si>
  <si>
    <t>Lucro (prejuízo) básico por ação</t>
  </si>
  <si>
    <t>base Daniela</t>
  </si>
  <si>
    <t>media</t>
  </si>
  <si>
    <t>Integralmente de operações continuadas (nota 24(a))</t>
  </si>
  <si>
    <t>Saldo de ações</t>
  </si>
  <si>
    <t>em opcoes</t>
  </si>
  <si>
    <t>Lucro (prejuízo) diluído por ação</t>
  </si>
  <si>
    <t>Integralmente de operações continuadas (nota 24(b))</t>
  </si>
  <si>
    <t>base diluido</t>
  </si>
  <si>
    <t>lucro básico</t>
  </si>
  <si>
    <t>lucro diluiído</t>
  </si>
  <si>
    <t>31 de março</t>
  </si>
  <si>
    <t>31 de dezembro de 2013</t>
  </si>
  <si>
    <t>de 2014</t>
  </si>
  <si>
    <t>Caixa e equivalentes de caixa (nota 7)</t>
  </si>
  <si>
    <r>
      <t>Empréstimos</t>
    </r>
    <r>
      <rPr>
        <sz val="8"/>
        <color theme="1"/>
        <rFont val="Times New Roman"/>
        <family val="1"/>
      </rPr>
      <t> </t>
    </r>
    <r>
      <rPr>
        <sz val="9"/>
        <color rgb="FF000000"/>
        <rFont val="Arial"/>
        <family val="2"/>
      </rPr>
      <t xml:space="preserve"> (Nota 5)</t>
    </r>
  </si>
  <si>
    <t>Contas a receber de clientes (nota 10)</t>
  </si>
  <si>
    <t>Estoques (nota 11)</t>
  </si>
  <si>
    <t>Dividendos a pagar (nota 14)</t>
  </si>
  <si>
    <t>Outros ativos (nota 13)</t>
  </si>
  <si>
    <t>Ativos não circulantes mantidos para venda (nota 12)</t>
  </si>
  <si>
    <t>Imposto de renda e contribuição social diferidos (nota 18)</t>
  </si>
  <si>
    <t>Provisão para contingências (nota 17)</t>
  </si>
  <si>
    <r>
      <t xml:space="preserve">     Valor a pagar por aquisição de participação societária</t>
    </r>
    <r>
      <rPr>
        <sz val="8"/>
        <color theme="1"/>
        <rFont val="Times New Roman"/>
        <family val="1"/>
      </rPr>
      <t> </t>
    </r>
  </si>
  <si>
    <t>líquido da escrow dos acionistas</t>
  </si>
  <si>
    <t>Adiantamentos a fornecedores</t>
  </si>
  <si>
    <t>Títulos e valores mobiliários (nota 8)</t>
  </si>
  <si>
    <t>Patrimônio líquido atribuído aos</t>
  </si>
  <si>
    <t>acionistas da controladora (nota 19)</t>
  </si>
  <si>
    <t>Investimentos (nota 14)</t>
  </si>
  <si>
    <t>Intangível (nota 15)</t>
  </si>
  <si>
    <t>Imobilizado (nota 16)</t>
  </si>
  <si>
    <t xml:space="preserve">Total do passivo e patrimônio líquido </t>
  </si>
  <si>
    <r>
      <t> </t>
    </r>
    <r>
      <rPr>
        <sz val="10"/>
        <color theme="1"/>
        <rFont val="Times New Roman"/>
        <family val="1"/>
      </rPr>
      <t>Incluir nota.</t>
    </r>
  </si>
  <si>
    <r>
      <t> </t>
    </r>
    <r>
      <rPr>
        <sz val="10"/>
        <color theme="1"/>
        <rFont val="Times New Roman"/>
        <family val="1"/>
      </rPr>
      <t>Fazer referência para nota 26</t>
    </r>
  </si>
  <si>
    <t>TECHNOS 31.12.13</t>
  </si>
  <si>
    <t>IR/CSL PROVISIONADOS EM 2012</t>
  </si>
  <si>
    <t>CORRENTE</t>
  </si>
  <si>
    <t>DIFERIDO</t>
  </si>
  <si>
    <t>DRE</t>
  </si>
  <si>
    <t>PAGAMENTOS</t>
  </si>
  <si>
    <t>IR/CSL</t>
  </si>
  <si>
    <t>TASA 11207</t>
  </si>
  <si>
    <t>TASA 21303</t>
  </si>
  <si>
    <t xml:space="preserve">prov em 30/12/11 </t>
  </si>
  <si>
    <t>TECH 11207</t>
  </si>
  <si>
    <t>SCS 11207</t>
  </si>
  <si>
    <t>compensação</t>
  </si>
  <si>
    <t>Ajustado para fechar com NE do imobilizado. Existia uma insistência de R$ 22</t>
  </si>
  <si>
    <t>prov</t>
  </si>
  <si>
    <t>tasa</t>
  </si>
  <si>
    <t>Provisão (reversão) para valor recuperável de estoques</t>
  </si>
  <si>
    <t>A PAGAR</t>
  </si>
  <si>
    <t>TW</t>
  </si>
  <si>
    <t>TBA</t>
  </si>
  <si>
    <t>TBU</t>
  </si>
  <si>
    <r>
      <t xml:space="preserve">Impairment </t>
    </r>
    <r>
      <rPr>
        <sz val="10"/>
        <color theme="1"/>
        <rFont val="Arial"/>
        <family val="2"/>
      </rPr>
      <t>de bens de ativo imobilizado e intangível</t>
    </r>
  </si>
  <si>
    <t>Equivalência patrimonial</t>
  </si>
  <si>
    <t>impairm</t>
  </si>
  <si>
    <t>Juros outros</t>
  </si>
  <si>
    <t>touch</t>
  </si>
  <si>
    <t>Ajuste alterado</t>
  </si>
  <si>
    <t>si</t>
  </si>
  <si>
    <t>compras</t>
  </si>
  <si>
    <t>deprec</t>
  </si>
  <si>
    <t>vr just est</t>
  </si>
  <si>
    <t>result</t>
  </si>
  <si>
    <t>DUMONT 31/03</t>
  </si>
  <si>
    <t>rec não oper</t>
  </si>
  <si>
    <t>Redução de contas a receber</t>
  </si>
  <si>
    <t>SD 30.06.12</t>
  </si>
  <si>
    <t>ANTES DOS AJUSTES DE BC</t>
  </si>
  <si>
    <t>CONTAS A RECEBER</t>
  </si>
  <si>
    <t>ESTOQUES</t>
  </si>
  <si>
    <t>OUTRAS CONTAS A RECEBER</t>
  </si>
  <si>
    <t>Aumento (redução) em salários e encargos sociais pagar</t>
  </si>
  <si>
    <t>FORNECEDORES E OUTRAS</t>
  </si>
  <si>
    <t>SALARIOS E ENC A PAGAR</t>
  </si>
  <si>
    <t>IMPOSTOS E CONTRIBUIÇÕES</t>
  </si>
  <si>
    <t>IR/CSL DIFERIDOS</t>
  </si>
  <si>
    <t>CAIXA E EQUIV CAIXA</t>
  </si>
  <si>
    <t>IR E CSL 2012</t>
  </si>
  <si>
    <t>Caixa líquido gerado pelas (aplicado nas) atividades operacionais</t>
  </si>
  <si>
    <t xml:space="preserve">   Aquisição de participação de não controladores </t>
  </si>
  <si>
    <t>caixa Dum 31/03</t>
  </si>
  <si>
    <t xml:space="preserve">   Aquisição de participação societária</t>
  </si>
  <si>
    <t>IMOBILIZADO</t>
  </si>
  <si>
    <t xml:space="preserve">   Reversão de ágio em aquisição de participação societária</t>
  </si>
  <si>
    <t>INTANGÍVEL</t>
  </si>
  <si>
    <t xml:space="preserve">   Indenização recebida em aquisição de participação societária</t>
  </si>
  <si>
    <t xml:space="preserve">   Ativos incorporados de controladas</t>
  </si>
  <si>
    <t>dumont</t>
  </si>
  <si>
    <t xml:space="preserve">   Aumento e integralização de capital em empresa controlada </t>
  </si>
  <si>
    <t>AC</t>
  </si>
  <si>
    <t>Aplicações em títulos e valores mobiliários</t>
  </si>
  <si>
    <t>IR/CSL DIFERIDO</t>
  </si>
  <si>
    <t>PC</t>
  </si>
  <si>
    <t>Valor recebido pela venda de imobilizado e ativos destinados a venda</t>
  </si>
  <si>
    <t>pc dividendos a pagar</t>
  </si>
  <si>
    <t>Compra de ativos intangíveis</t>
  </si>
  <si>
    <t>CAIXA E EQQUIV</t>
  </si>
  <si>
    <t xml:space="preserve">    Dividendos recebidos </t>
  </si>
  <si>
    <t>EFEITO DISTRIBUIDO</t>
  </si>
  <si>
    <t>Caixa líquido aplicado nas atividades de investimento</t>
  </si>
  <si>
    <t>RECLASSIFICAÇÃO DE FORNEC ESTRANG(FINIMP) PARA FINIMP</t>
  </si>
  <si>
    <t>Integralização de capital</t>
  </si>
  <si>
    <t xml:space="preserve">   Empréstimos</t>
  </si>
  <si>
    <t xml:space="preserve">   Empréstimos pagos</t>
  </si>
  <si>
    <t xml:space="preserve">   Reversão de gastos com emissão de ações a pagar</t>
  </si>
  <si>
    <t>Consolidado corrigido: Dividendos de R$ 17 pagos em 29/06 não foram considerados.</t>
  </si>
  <si>
    <t>Caixa líquido aplicado nas atividades de financiamento</t>
  </si>
  <si>
    <t>Caixa e equivalentes de caixa no início do período (nota 7)</t>
  </si>
  <si>
    <t>Caixa e equivalentes de caixa no final do período (nota 7)</t>
  </si>
  <si>
    <t>AQUISIÇÃO</t>
  </si>
  <si>
    <t>TRI1</t>
  </si>
  <si>
    <t>TRI2 TASA</t>
  </si>
  <si>
    <t>TRI2SCS</t>
  </si>
  <si>
    <t>TRI2DUM</t>
  </si>
  <si>
    <t>IMOB</t>
  </si>
  <si>
    <t>INTANG</t>
  </si>
  <si>
    <t>30 de junho</t>
  </si>
  <si>
    <t>Imposto de renda e contribuição social diferidos (nota 17)</t>
  </si>
  <si>
    <t>Lucros acumulados</t>
  </si>
  <si>
    <t>Arrendamento a pagar</t>
  </si>
  <si>
    <t>Contas a pagar - cessão de direitos creditórios</t>
  </si>
  <si>
    <t>Resgate de depósitos vinculados</t>
  </si>
  <si>
    <t>Provisão para honorários de êxito</t>
  </si>
  <si>
    <t>Balanço Patrimonial (R$ mil)</t>
  </si>
  <si>
    <t>Caixa e equivalentes de caixa</t>
  </si>
  <si>
    <t>Caixa Restrito</t>
  </si>
  <si>
    <t>Títulos e valores mobiliários</t>
  </si>
  <si>
    <t>Contas a receber de clientes</t>
  </si>
  <si>
    <t>Estoques</t>
  </si>
  <si>
    <t>IR/CSL a recuperar</t>
  </si>
  <si>
    <t>Instrumentos financeiros derivativos</t>
  </si>
  <si>
    <t xml:space="preserve">Ativos mantidos para venda </t>
  </si>
  <si>
    <t>Depósitos Vinculados</t>
  </si>
  <si>
    <t>Adiantamento a fornecedores</t>
  </si>
  <si>
    <t>Investimentos</t>
  </si>
  <si>
    <t>Intangível</t>
  </si>
  <si>
    <t>Imobilizado</t>
  </si>
  <si>
    <t>Valor a pagar por aquisição das ações preferenciais  FIP</t>
  </si>
  <si>
    <t>Empréstimos</t>
  </si>
  <si>
    <t>Imposto de renda e contribuição social diferidos</t>
  </si>
  <si>
    <t>Valor a pagar por aquisição de participação de não controladores</t>
  </si>
  <si>
    <t>Dividendos a pagar</t>
  </si>
  <si>
    <t xml:space="preserve">Provisão para honorários de êxito </t>
  </si>
  <si>
    <t>Valor a pagar por aquisição de participação societária</t>
  </si>
  <si>
    <t>Total do passivo</t>
  </si>
  <si>
    <t>Patrimônio líquido atribuído aos acionistas da controladora</t>
  </si>
  <si>
    <t>Ações em Tesouraria</t>
  </si>
  <si>
    <t>Dividendo adicional proposto</t>
  </si>
  <si>
    <t>Total do passivo e patrimônio líquido</t>
  </si>
  <si>
    <t>Fluxo de Caixa (R$ mil)</t>
  </si>
  <si>
    <t>Amortização de ágio</t>
  </si>
  <si>
    <t>Provisão para valor recuperável de estoques</t>
  </si>
  <si>
    <t>Baixa de contas a receber por execução de garantia sem geração de caixa</t>
  </si>
  <si>
    <t>Provisão (reversão) para contingências</t>
  </si>
  <si>
    <t>Redução (aumento) de títulos e valores mobiliários</t>
  </si>
  <si>
    <t>Redução (aumento) de contas a receber</t>
  </si>
  <si>
    <t>Aumento (redução) em salários e encargos sociais a pagar</t>
  </si>
  <si>
    <t>Caixa líquido (aplicado nas) gerado pelas atividades operacionais</t>
  </si>
  <si>
    <t>Reversão do ágio em aquisição de participação societária</t>
  </si>
  <si>
    <t>Aquisição de participação de não controladores</t>
  </si>
  <si>
    <t>Aquisição de participação societária</t>
  </si>
  <si>
    <t>Valor recebido pela venda de imobilizado</t>
  </si>
  <si>
    <t>Compras de ativos intangíveis</t>
  </si>
  <si>
    <t>Indenizações recebidas</t>
  </si>
  <si>
    <t>Caixa líquido (aplicado nas) gerado pelas atividades de investimento</t>
  </si>
  <si>
    <t xml:space="preserve">Aquisição de ações próprias mantidas em tesouraria </t>
  </si>
  <si>
    <t>Valor recebido pela emissão de ações ordinárias</t>
  </si>
  <si>
    <t>Pagamentos de empréstimos</t>
  </si>
  <si>
    <t>Dividendos pagos aos acionistas não controladores</t>
  </si>
  <si>
    <t>Caixa líquido gerado (aplicado) nas atividades de financiamento</t>
  </si>
  <si>
    <t>Caixa e equivalentes de caixa no início do período</t>
  </si>
  <si>
    <t>Caixa e equivalentes de caixa no final do período</t>
  </si>
  <si>
    <t>Outras despesas de juros e variação cambial</t>
  </si>
  <si>
    <t>Provisão para redução ao valor recuperável do ágio (impairment)</t>
  </si>
  <si>
    <t>Ajuste a valor de mercado em ativos não circulantes disponíveis para venda</t>
  </si>
  <si>
    <t>Depósitos vinculados em garantia a empréstimos - caixa restrito</t>
  </si>
  <si>
    <t>Arrendamento contratado</t>
  </si>
  <si>
    <t>Arrendamento pago</t>
  </si>
  <si>
    <t>Reversão de provisão de estoque por baixa</t>
  </si>
  <si>
    <t>Receita Operacional Bruta</t>
  </si>
  <si>
    <t>Ajuste a Valor Presente sobre a Receita</t>
  </si>
  <si>
    <t>Imposto sobre Vendas</t>
  </si>
  <si>
    <t>Ajuste a Valor Presente sobre os Impostos</t>
  </si>
  <si>
    <t>Receita Operacional Líquida</t>
  </si>
  <si>
    <t>Provisão por redução a valor recuperável de contas a receber</t>
  </si>
  <si>
    <t>Perda do contas a receber</t>
  </si>
  <si>
    <t>% da Receita Líquida</t>
  </si>
  <si>
    <t>Despesas Administrativas</t>
  </si>
  <si>
    <t>Outras Contas, Líquidas</t>
  </si>
  <si>
    <t>Lucro Operacional</t>
  </si>
  <si>
    <t>Despesas Financeiras</t>
  </si>
  <si>
    <t>Receitas Financeiras</t>
  </si>
  <si>
    <t>Resultado Financeiro Líquido</t>
  </si>
  <si>
    <t>Lucro antes do IR e CSLL</t>
  </si>
  <si>
    <t>Corrente</t>
  </si>
  <si>
    <t>Diferido</t>
  </si>
  <si>
    <t>Imposto de Renda e Contribuição Social</t>
  </si>
  <si>
    <t>Lucro Líquido</t>
  </si>
  <si>
    <t>Receitas Financeiras sem AVP</t>
  </si>
  <si>
    <t>Receitas Financeiras do AVP</t>
  </si>
  <si>
    <t>Impostos Correntes</t>
  </si>
  <si>
    <t>Impostos Diferidos</t>
  </si>
  <si>
    <t>Provisão para Contingências Não Recorrentes</t>
  </si>
  <si>
    <t>Outros Não-Recorrentes</t>
  </si>
  <si>
    <t>Recuperação Escrow</t>
  </si>
  <si>
    <t>Realização de Valor Justo do Estoque da Dumont</t>
  </si>
  <si>
    <t>ESOP</t>
  </si>
  <si>
    <t>Impacto do AVP sobre Resultado Operacional</t>
  </si>
  <si>
    <t>Impactos Extraordinários</t>
  </si>
  <si>
    <t>EBITDA Ajustado</t>
  </si>
  <si>
    <t>Margem Ebitda</t>
  </si>
  <si>
    <t>Reserva de lucro de incentivo fiscal reflexa</t>
  </si>
  <si>
    <t>Lucro (Prejuízo) no período</t>
  </si>
  <si>
    <t>Exercício de plano de opção - Stock Option</t>
  </si>
  <si>
    <t>Obrigações a pagar por aquisição de mercadoria</t>
  </si>
  <si>
    <t>1T24</t>
  </si>
  <si>
    <t>2T24</t>
  </si>
  <si>
    <t>3T24</t>
  </si>
  <si>
    <t>4T24</t>
  </si>
  <si>
    <t>Caixa e equivalentes de caixa (nota 4)</t>
  </si>
  <si>
    <t>Caixa restrito (nota 5)</t>
  </si>
  <si>
    <t>Contas a receber de clientes (nota 7)</t>
  </si>
  <si>
    <t>Estoques (nota 8)</t>
  </si>
  <si>
    <t>IR/CSL a recuperar (15)</t>
  </si>
  <si>
    <t>Impostos a recuperar (15)</t>
  </si>
  <si>
    <t>Instrumentos financeiros derivativos (nota 23)</t>
  </si>
  <si>
    <t>Títulos e valores mobiliários (nota 6)</t>
  </si>
  <si>
    <t>Depósitos judiciais (14)</t>
  </si>
  <si>
    <t>Instrumentos financeiros derivativos (23)</t>
  </si>
  <si>
    <t>Intangível (nota 10)</t>
  </si>
  <si>
    <t>Imobilizado (nota 11)</t>
  </si>
  <si>
    <t>Empréstimos  (Nota 12)</t>
  </si>
  <si>
    <t>Fornecedores (Nota 14,)</t>
  </si>
  <si>
    <t>Impostos e  taxas a pagar (Nota 16)</t>
  </si>
  <si>
    <t>IR e Contribuições retidos na fonte (Nota 16)</t>
  </si>
  <si>
    <t>Valor a pagar por aquisição de participação de não controlador (6)</t>
  </si>
  <si>
    <t>Dividendos a pagar (nota 15)</t>
  </si>
  <si>
    <t xml:space="preserve"> Arrendamento  a pagar (nota 13)</t>
  </si>
  <si>
    <t>Provisão para honorários de êxito (16)</t>
  </si>
  <si>
    <t>Contas a pagar - cessão de direitos creditórios (nota 15)</t>
  </si>
  <si>
    <t>Imposto de renda e contribuição social diferidos (nota 16)</t>
  </si>
  <si>
    <t>Impostos, taxas e contribuições sociais a pagar (Nota 16)</t>
  </si>
  <si>
    <t>Provisão para contingências (nota 15)</t>
  </si>
  <si>
    <t>Valor a pagar por aquisição de participação societária </t>
  </si>
  <si>
    <t>Arrendamento a pagar (nota 13)</t>
  </si>
  <si>
    <t>Ações em tesouraria</t>
  </si>
  <si>
    <t>Lucro (prejuízo) no período</t>
  </si>
  <si>
    <t>Provisão (reversão) para valor recuperável de contas a receber</t>
  </si>
  <si>
    <t>Impairment (reversão) de bens do ativo imobilizado e intangivel</t>
  </si>
  <si>
    <t>Caixa restrito</t>
  </si>
  <si>
    <t>Indenização recebida em aquisição de participação societária</t>
  </si>
  <si>
    <t>Reversão de ágio em aquisição de participação societária</t>
  </si>
  <si>
    <t>Aquisição de ações próprias mantidas em tesouraria</t>
  </si>
  <si>
    <t>Empréstimos pagos</t>
  </si>
  <si>
    <t>N/A</t>
  </si>
  <si>
    <t>1T25</t>
  </si>
  <si>
    <t>2T25</t>
  </si>
  <si>
    <t>3T25</t>
  </si>
  <si>
    <t>4T25</t>
  </si>
  <si>
    <t>Aumento (redução) em impostos, taxas e contribuições sociais a pagar e a recuperar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</si>
</sst>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6">
    <numFmt numFmtId="41" formatCode="_-* #,##0_-;\-* #,##0_-;_-* &quot;-&quot;_-;_-@_-"/>
    <numFmt numFmtId="43" formatCode="_-* #,##0.00_-;\-* #,##0.00_-;_-* &quot;-&quot;??_-;_-@_-"/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(&quot;$&quot;* #,##0.00_);_(&quot;$&quot;* \(#,##0.00\);_(&quot;$&quot;* &quot;-&quot;??_);_(@_)"/>
    <numFmt numFmtId="169" formatCode="_-* #,##0_-;\-* #,##0_-;_-* &quot;-&quot;??_-;_-@_-"/>
    <numFmt numFmtId="170" formatCode="0.0%"/>
    <numFmt numFmtId="171" formatCode="#,##0.000"/>
    <numFmt numFmtId="172" formatCode="_(* #,##0_);_(* \(#,##0\);_(* &quot;-&quot;??_);_(@_)"/>
    <numFmt numFmtId="173" formatCode="#,##0.0_);\(#,##0.0\);\-\ \ \ \ \ "/>
    <numFmt numFmtId="174" formatCode="0.0000&quot;  &quot;"/>
    <numFmt numFmtId="175" formatCode="0.00000&quot;  &quot;"/>
    <numFmt numFmtId="176" formatCode="m/d/yy\ hh:mm"/>
    <numFmt numFmtId="177" formatCode="_(* #,##0_);_(* \(#,##0\);_(* &quot;-&quot;???_);_(@_)"/>
    <numFmt numFmtId="178" formatCode="#,##0\ &quot;FB&quot;;[Red]\-#,##0\ &quot;FB&quot;"/>
    <numFmt numFmtId="179" formatCode="_(* #,##0.0000_);_(* \(#,##0.0000\);_(* &quot;-&quot;????_);_(@_)"/>
    <numFmt numFmtId="180" formatCode="_-* #,##0\ _E_s_c_._-;\-* #,##0\ _E_s_c_._-;_-* &quot;-&quot;\ _E_s_c_._-;_-@_-"/>
    <numFmt numFmtId="181" formatCode="&quot;$&quot;#,##0.00000000_);[Red]\(&quot;$&quot;#,##0.00000000\)"/>
    <numFmt numFmtId="182" formatCode="_(&quot;$&quot;* #,##0_);_(&quot;$&quot;* \(#,##0\);_(&quot;$&quot;* &quot;-&quot;_);_(@_)"/>
    <numFmt numFmtId="183" formatCode="_-[$€-2]\ * #,##0.00_-;\-[$€-2]\ * #,##0.00_-;_-[$€-2]\ * &quot;-&quot;??_-"/>
    <numFmt numFmtId="184" formatCode="#,##0;[Red]#,##0&quot;-&quot;"/>
    <numFmt numFmtId="185" formatCode="#,##0.00;[Red]#,##0.00&quot;-&quot;"/>
    <numFmt numFmtId="186" formatCode="#,###,;\-#,###,"/>
    <numFmt numFmtId="187" formatCode="#,##0;\-#,##0;&quot;---&quot;"/>
    <numFmt numFmtId="188" formatCode="_ * #,##0_ ;_ * \-#,##0_ ;_ * &quot;-&quot;_ ;_ @_ "/>
    <numFmt numFmtId="189" formatCode="_ * #,##0.00_ ;_ * \-#,##0.00_ ;_ * &quot;-&quot;??_ ;_ @_ "/>
    <numFmt numFmtId="190" formatCode="_-* #,##0\ _F_-;\-* #,##0\ _F_-;_-* &quot;-&quot;\ _F_-;_-@_-"/>
    <numFmt numFmtId="191" formatCode="_(&quot;R$ &quot;* #,##0.00_);_(&quot;R$ &quot;* \(#,##0.00\);_(&quot;R$ &quot;* &quot;-&quot;??_);_(@_)"/>
    <numFmt numFmtId="192" formatCode="_ &quot;S/&quot;* #,##0_ ;_ &quot;S/&quot;* \-#,##0_ ;_ &quot;S/&quot;* &quot;-&quot;_ ;_ @_ "/>
    <numFmt numFmtId="193" formatCode="_ &quot;S/&quot;* #,##0.00_ ;_ &quot;S/&quot;* \-#,##0.00_ ;_ &quot;S/&quot;* &quot;-&quot;??_ ;_ @_ "/>
    <numFmt numFmtId="194" formatCode="&quot;  -  &quot;0&quot;  -  &quot;;&quot;  -  &quot;@&quot;  -  &quot;"/>
    <numFmt numFmtId="195" formatCode="_(* #,##0.0_);_(* \(#,##0.0\);_(* &quot;-&quot;????_);_(@_)"/>
    <numFmt numFmtId="196" formatCode="##0.00%;\(##0.00\)%"/>
    <numFmt numFmtId="197" formatCode="&quot;$&quot;#,##0_);\(&quot;$&quot;#,##0\)"/>
    <numFmt numFmtId="198" formatCode="_(* #,##0_%\);_(* \(#,##0\);_(* &quot;-&quot;_);_(@_)"/>
    <numFmt numFmtId="199" formatCode="_(* #,##0.000_);_(* \(#,##0.000\);_(* &quot;-&quot;????_);_(@_)"/>
    <numFmt numFmtId="200" formatCode="_(* #,##0.00_);_(* \(#,##0.00\);_(* &quot;-&quot;????_);_(@_)"/>
    <numFmt numFmtId="201" formatCode="&quot;f.&quot;\ #,##0_-;[Red]&quot;f.&quot;\ #,##0\-"/>
    <numFmt numFmtId="202" formatCode="&quot;f.&quot;\ #,##0.00_-;[Red]&quot;f.&quot;\ #,##0.00\-"/>
    <numFmt numFmtId="203" formatCode="&quot;$&quot;#,##0_);[Red]\(&quot;$&quot;#,##0\)"/>
    <numFmt numFmtId="204" formatCode="&quot;$&quot;#,##0.00_);[Red]\(&quot;$&quot;#,##0.00\)"/>
    <numFmt numFmtId="205" formatCode="#,##0_);\(#,##0\);\-"/>
    <numFmt numFmtId="206" formatCode="#,##0.0_);\(#,##0.0\);\-"/>
    <numFmt numFmtId="207" formatCode="#,##0.0"/>
    <numFmt numFmtId="208" formatCode="0.0\ \p\.\p\."/>
    <numFmt numFmtId="209" formatCode="_-* #,##0.0_-;\-* #,##0.0_-;_-* &quot;-&quot;??_-;_-@_-"/>
    <numFmt numFmtId="210" formatCode="0.0"/>
    <numFmt numFmtId="211" formatCode="#,##0_ ;\-#,##0\ "/>
    <numFmt numFmtId="212" formatCode="[$-416]mmm\-yy;@"/>
    <numFmt numFmtId="213" formatCode="_(* #,##0.0_);_(* \(#,##0.0\);_(* &quot;-&quot;??_);_(@_)"/>
    <numFmt numFmtId="214" formatCode="_(* #,##0.000_);_(* \(#,##0.000\);_(* &quot;-&quot;??_);_(@_)"/>
    <numFmt numFmtId="215" formatCode="0;[Red]0"/>
    <numFmt numFmtId="216" formatCode="_-* #,##0.0000_-;\-* #,##0.0000_-;_-* &quot;-&quot;??_-;_-@_-"/>
    <numFmt numFmtId="217" formatCode="_-* #,##0.000_-;\-* #,##0.000_-;_-* &quot;-&quot;??_-;_-@_-"/>
  </numFmts>
  <fonts count="8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i/>
      <sz val="9"/>
      <color indexed="17"/>
      <name val="Calibri"/>
      <family val="2"/>
    </font>
    <font>
      <i/>
      <sz val="9"/>
      <color indexed="10"/>
      <name val="Calibri"/>
      <family val="2"/>
    </font>
    <font>
      <b/>
      <sz val="9"/>
      <color indexed="9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9"/>
      <name val="Arial"/>
      <family val="2"/>
    </font>
    <font>
      <sz val="10"/>
      <color indexed="8"/>
      <name val="Arial"/>
      <family val="2"/>
    </font>
    <font>
      <b/>
      <u/>
      <sz val="12"/>
      <color indexed="10"/>
      <name val="Arial"/>
      <family val="2"/>
    </font>
    <font>
      <b/>
      <sz val="10"/>
      <color indexed="32"/>
      <name val="Arial"/>
      <family val="2"/>
    </font>
    <font>
      <b/>
      <sz val="12"/>
      <color indexed="8"/>
      <name val="Arial"/>
      <family val="2"/>
    </font>
    <font>
      <sz val="10"/>
      <name val="BERNHARD"/>
    </font>
    <font>
      <sz val="10"/>
      <name val="Helv"/>
    </font>
    <font>
      <b/>
      <sz val="10"/>
      <name val="MS Sans Serif"/>
      <family val="2"/>
    </font>
    <font>
      <sz val="1"/>
      <color indexed="8"/>
      <name val="Courier"/>
      <family val="3"/>
    </font>
    <font>
      <b/>
      <sz val="16"/>
      <name val="Arial"/>
      <family val="2"/>
    </font>
    <font>
      <b/>
      <sz val="1"/>
      <color indexed="8"/>
      <name val="Courier"/>
      <family val="3"/>
    </font>
    <font>
      <b/>
      <sz val="12"/>
      <color indexed="8"/>
      <name val="Times New Roman"/>
      <family val="1"/>
    </font>
    <font>
      <sz val="7"/>
      <name val="Small Fonts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8"/>
      <name val="Helv"/>
    </font>
    <font>
      <b/>
      <u/>
      <sz val="12"/>
      <name val="Arial"/>
      <family val="2"/>
    </font>
    <font>
      <sz val="10"/>
      <color indexed="32"/>
      <name val="Arial"/>
      <family val="2"/>
    </font>
    <font>
      <b/>
      <sz val="12"/>
      <name val="MS Sans Serif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i/>
      <sz val="9"/>
      <color indexed="8"/>
      <name val="Calibri"/>
      <family val="2"/>
    </font>
    <font>
      <b/>
      <i/>
      <sz val="9"/>
      <name val="Calibri"/>
      <family val="2"/>
    </font>
    <font>
      <b/>
      <i/>
      <sz val="9"/>
      <color indexed="9"/>
      <name val="Calibri"/>
      <family val="2"/>
    </font>
    <font>
      <i/>
      <sz val="11"/>
      <color theme="1"/>
      <name val="Calibri"/>
      <family val="2"/>
      <scheme val="minor"/>
    </font>
    <font>
      <b/>
      <i/>
      <sz val="9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Times New Roman"/>
      <family val="1"/>
    </font>
    <font>
      <sz val="7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i/>
      <sz val="10"/>
      <color theme="1"/>
      <name val="Arial"/>
      <family val="2"/>
    </font>
    <font>
      <i/>
      <sz val="9"/>
      <color rgb="FFFF0000"/>
      <name val="Calibri"/>
      <family val="2"/>
    </font>
    <font>
      <sz val="9"/>
      <color theme="0"/>
      <name val="Calibri"/>
      <family val="2"/>
    </font>
    <font>
      <sz val="9"/>
      <color rgb="FFFF0000"/>
      <name val="Calibri"/>
      <family val="2"/>
    </font>
    <font>
      <sz val="12"/>
      <color theme="1"/>
      <name val="Times New Roman"/>
      <family val="1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8"/>
      <name val="Calibri"/>
      <family val="2"/>
    </font>
    <font>
      <i/>
      <sz val="9"/>
      <name val="Calibri"/>
      <family val="2"/>
    </font>
    <font>
      <b/>
      <i/>
      <sz val="9"/>
      <color indexed="8"/>
      <name val="Calibri"/>
      <family val="2"/>
    </font>
    <font>
      <sz val="9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19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9"/>
        <bgColor indexed="19"/>
      </patternFill>
    </fill>
    <fill>
      <patternFill patternType="solid">
        <fgColor indexed="26"/>
        <bgColor indexed="19"/>
      </patternFill>
    </fill>
    <fill>
      <patternFill patternType="solid">
        <fgColor indexed="51"/>
        <bgColor indexed="19"/>
      </patternFill>
    </fill>
    <fill>
      <patternFill patternType="solid">
        <fgColor indexed="22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43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096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10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73" fontId="14" fillId="0" borderId="0" applyFont="0" applyAlignment="0">
      <alignment horizontal="center"/>
    </xf>
    <xf numFmtId="173" fontId="15" fillId="0" borderId="0" applyFont="0" applyFill="0" applyBorder="0" applyAlignment="0" applyProtection="0"/>
    <xf numFmtId="173" fontId="14" fillId="0" borderId="0" applyFont="0" applyAlignment="0">
      <alignment horizontal="center"/>
    </xf>
    <xf numFmtId="3" fontId="16" fillId="9" borderId="0">
      <alignment horizontal="left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" fontId="17" fillId="10" borderId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8" fillId="11" borderId="26">
      <alignment horizontal="center"/>
    </xf>
    <xf numFmtId="0" fontId="19" fillId="10" borderId="0"/>
    <xf numFmtId="0" fontId="20" fillId="10" borderId="0">
      <alignment horizontal="center"/>
    </xf>
    <xf numFmtId="0" fontId="21" fillId="10" borderId="0">
      <alignment horizontal="left"/>
    </xf>
    <xf numFmtId="3" fontId="19" fillId="12" borderId="0">
      <alignment horizontal="left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" fontId="11" fillId="13" borderId="27">
      <alignment horizontal="center"/>
    </xf>
    <xf numFmtId="3" fontId="22" fillId="8" borderId="26" applyNumberFormat="0">
      <alignment horizont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Fill="0" applyBorder="0" applyAlignment="0"/>
    <xf numFmtId="0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5" fontId="1" fillId="0" borderId="0" applyFill="0" applyBorder="0" applyAlignment="0"/>
    <xf numFmtId="175" fontId="1" fillId="0" borderId="0" applyFill="0" applyBorder="0" applyAlignment="0"/>
    <xf numFmtId="176" fontId="1" fillId="0" borderId="0" applyFill="0" applyBorder="0" applyAlignment="0"/>
    <xf numFmtId="176" fontId="1" fillId="0" borderId="0" applyFill="0" applyBorder="0" applyAlignment="0"/>
    <xf numFmtId="177" fontId="1" fillId="0" borderId="0" applyFill="0" applyBorder="0" applyAlignment="0"/>
    <xf numFmtId="177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180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23" fillId="0" borderId="0"/>
    <xf numFmtId="0" fontId="24" fillId="0" borderId="0"/>
    <xf numFmtId="0" fontId="23" fillId="0" borderId="0"/>
    <xf numFmtId="0" fontId="24" fillId="0" borderId="0"/>
    <xf numFmtId="37" fontId="25" fillId="0" borderId="0" applyBorder="0" applyAlignment="0">
      <alignment horizontal="center"/>
    </xf>
    <xf numFmtId="0" fontId="1" fillId="0" borderId="0" applyNumberFormat="0" applyAlignment="0">
      <alignment horizontal="left"/>
    </xf>
    <xf numFmtId="0" fontId="1" fillId="0" borderId="0" applyNumberFormat="0" applyAlignment="0">
      <alignment horizontal="left"/>
    </xf>
    <xf numFmtId="0" fontId="1" fillId="0" borderId="0" applyNumberFormat="0" applyAlignment="0"/>
    <xf numFmtId="0" fontId="1" fillId="0" borderId="0" applyNumberFormat="0" applyAlignment="0"/>
    <xf numFmtId="182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" fontId="9" fillId="0" borderId="25" applyFont="0" applyFill="0" applyBorder="0" applyAlignment="0" applyProtection="0">
      <alignment horizontal="center"/>
    </xf>
    <xf numFmtId="14" fontId="1" fillId="0" borderId="0" applyFill="0" applyBorder="0" applyAlignment="0"/>
    <xf numFmtId="14" fontId="1" fillId="0" borderId="0" applyFill="0" applyBorder="0" applyAlignment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26" fillId="0" borderId="0">
      <protection locked="0"/>
    </xf>
    <xf numFmtId="3" fontId="27" fillId="14" borderId="26">
      <alignment horizontal="center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28" fillId="0" borderId="0">
      <protection locked="0"/>
    </xf>
    <xf numFmtId="0" fontId="28" fillId="0" borderId="0">
      <protection locked="0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178" fontId="1" fillId="0" borderId="0" applyFill="0" applyBorder="0" applyAlignment="0"/>
    <xf numFmtId="178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0" fontId="1" fillId="0" borderId="0" applyNumberFormat="0" applyAlignment="0">
      <alignment horizontal="left"/>
    </xf>
    <xf numFmtId="0" fontId="1" fillId="0" borderId="0" applyNumberFormat="0" applyAlignment="0">
      <alignment horizontal="left"/>
    </xf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83" fontId="16" fillId="0" borderId="0" applyFont="0" applyFill="0" applyBorder="0" applyAlignment="0" applyProtection="0"/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8" fontId="1" fillId="0" borderId="0" applyNumberFormat="0" applyBorder="0" applyAlignment="0" applyProtection="0"/>
    <xf numFmtId="38" fontId="1" fillId="0" borderId="0" applyNumberFormat="0" applyBorder="0" applyAlignment="0" applyProtection="0"/>
    <xf numFmtId="165" fontId="11" fillId="0" borderId="0"/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/>
    <xf numFmtId="0" fontId="1" fillId="0" borderId="0"/>
    <xf numFmtId="4" fontId="9" fillId="15" borderId="0"/>
    <xf numFmtId="4" fontId="9" fillId="15" borderId="0"/>
    <xf numFmtId="4" fontId="9" fillId="15" borderId="0"/>
    <xf numFmtId="4" fontId="9" fillId="15" borderId="0"/>
    <xf numFmtId="0" fontId="1" fillId="0" borderId="0" applyNumberFormat="0" applyAlignment="0" applyProtection="0"/>
    <xf numFmtId="10" fontId="1" fillId="0" borderId="0" applyNumberFormat="0" applyBorder="0" applyAlignment="0" applyProtection="0"/>
    <xf numFmtId="10" fontId="1" fillId="0" borderId="0" applyNumberFormat="0" applyBorder="0" applyAlignment="0" applyProtection="0"/>
    <xf numFmtId="0" fontId="1" fillId="0" borderId="0" applyNumberFormat="0" applyAlignment="0" applyProtection="0"/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1" fillId="0" borderId="0"/>
    <xf numFmtId="0" fontId="1" fillId="0" borderId="0"/>
    <xf numFmtId="186" fontId="1" fillId="0" borderId="0" applyFont="0" applyFill="0" applyBorder="0" applyAlignment="0" applyProtection="0">
      <alignment horizontal="center"/>
    </xf>
    <xf numFmtId="186" fontId="1" fillId="0" borderId="0" applyFont="0" applyFill="0" applyBorder="0" applyAlignment="0" applyProtection="0">
      <alignment horizontal="center"/>
    </xf>
    <xf numFmtId="187" fontId="1" fillId="0" borderId="0" applyFont="0" applyFill="0" applyBorder="0" applyAlignment="0" applyProtection="0">
      <alignment horizontal="center"/>
    </xf>
    <xf numFmtId="187" fontId="1" fillId="0" borderId="0" applyFont="0" applyFill="0" applyBorder="0" applyAlignment="0" applyProtection="0">
      <alignment horizontal="center"/>
    </xf>
    <xf numFmtId="0" fontId="1" fillId="0" borderId="0" applyNumberFormat="0" applyFill="0" applyBorder="0" applyAlignment="0" applyProtection="0">
      <alignment vertical="top"/>
      <protection locked="0"/>
    </xf>
    <xf numFmtId="178" fontId="1" fillId="0" borderId="0" applyFill="0" applyBorder="0" applyAlignment="0"/>
    <xf numFmtId="178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188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90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2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6" fillId="0" borderId="0">
      <protection locked="0"/>
    </xf>
    <xf numFmtId="3" fontId="29" fillId="9" borderId="25">
      <alignment horizontal="center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7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31" fillId="16" borderId="24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194" fontId="11" fillId="0" borderId="0" applyFont="0">
      <alignment horizontal="centerContinuous"/>
    </xf>
    <xf numFmtId="194" fontId="11" fillId="0" borderId="0" applyFont="0">
      <alignment horizontal="centerContinuous"/>
    </xf>
    <xf numFmtId="194" fontId="11" fillId="0" borderId="0" applyFont="0">
      <alignment horizontal="centerContinuous"/>
    </xf>
    <xf numFmtId="194" fontId="11" fillId="0" borderId="0" applyFont="0">
      <alignment horizontal="centerContinuous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196" fontId="9" fillId="0" borderId="0" applyFont="0" applyFill="0" applyBorder="0" applyAlignment="0" applyProtection="0"/>
    <xf numFmtId="0" fontId="26" fillId="0" borderId="0">
      <protection locked="0"/>
    </xf>
    <xf numFmtId="178" fontId="1" fillId="0" borderId="0" applyFill="0" applyBorder="0" applyAlignment="0"/>
    <xf numFmtId="178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4" fontId="1" fillId="0" borderId="0" applyNumberFormat="0" applyFill="0" applyBorder="0" applyAlignment="0" applyProtection="0">
      <alignment horizontal="left"/>
    </xf>
    <xf numFmtId="14" fontId="1" fillId="0" borderId="0" applyNumberFormat="0" applyFill="0" applyBorder="0" applyAlignment="0" applyProtection="0">
      <alignment horizontal="left"/>
    </xf>
    <xf numFmtId="38" fontId="33" fillId="0" borderId="0"/>
    <xf numFmtId="3" fontId="15" fillId="13" borderId="27">
      <alignment horizontal="center"/>
    </xf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64" fontId="9" fillId="0" borderId="0">
      <protection locked="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7" fontId="1" fillId="0" borderId="0" applyNumberFormat="0" applyFont="0" applyBorder="0"/>
    <xf numFmtId="197" fontId="1" fillId="0" borderId="0" applyNumberFormat="0" applyFont="0" applyBorder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3" fontId="21" fillId="17" borderId="0">
      <alignment horizontal="left"/>
    </xf>
    <xf numFmtId="0" fontId="1" fillId="0" borderId="0"/>
    <xf numFmtId="0" fontId="1" fillId="0" borderId="0"/>
    <xf numFmtId="3" fontId="16" fillId="17" borderId="0">
      <alignment horizontal="left"/>
    </xf>
    <xf numFmtId="198" fontId="9" fillId="0" borderId="0"/>
    <xf numFmtId="3" fontId="16" fillId="17" borderId="0">
      <alignment horizontal="left"/>
    </xf>
    <xf numFmtId="3" fontId="16" fillId="17" borderId="0">
      <alignment horizontal="left"/>
    </xf>
    <xf numFmtId="3" fontId="16" fillId="17" borderId="0">
      <alignment horizontal="left"/>
    </xf>
    <xf numFmtId="3" fontId="16" fillId="17" borderId="0">
      <alignment horizontal="left"/>
    </xf>
    <xf numFmtId="3" fontId="16" fillId="17" borderId="0">
      <alignment horizontal="left"/>
    </xf>
    <xf numFmtId="40" fontId="1" fillId="0" borderId="0" applyBorder="0">
      <alignment horizontal="right"/>
    </xf>
    <xf numFmtId="40" fontId="1" fillId="0" borderId="0" applyBorder="0">
      <alignment horizontal="right"/>
    </xf>
    <xf numFmtId="49" fontId="1" fillId="0" borderId="0" applyFill="0" applyBorder="0" applyAlignment="0"/>
    <xf numFmtId="49" fontId="1" fillId="0" borderId="0" applyFill="0" applyBorder="0" applyAlignment="0"/>
    <xf numFmtId="199" fontId="1" fillId="0" borderId="0" applyFill="0" applyBorder="0" applyAlignment="0"/>
    <xf numFmtId="199" fontId="1" fillId="0" borderId="0" applyFill="0" applyBorder="0" applyAlignment="0"/>
    <xf numFmtId="200" fontId="1" fillId="0" borderId="0" applyFill="0" applyBorder="0" applyAlignment="0"/>
    <xf numFmtId="200" fontId="1" fillId="0" borderId="0" applyFill="0" applyBorder="0" applyAlignment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3" fontId="34" fillId="17" borderId="0">
      <alignment horizontal="center"/>
    </xf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98" fontId="9" fillId="0" borderId="0">
      <alignment horizontal="left"/>
    </xf>
    <xf numFmtId="3" fontId="29" fillId="3" borderId="25">
      <alignment horizontal="center" vertical="center"/>
    </xf>
    <xf numFmtId="3" fontId="35" fillId="17" borderId="0">
      <alignment horizontal="left"/>
    </xf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26" fillId="0" borderId="28">
      <protection locked="0"/>
    </xf>
    <xf numFmtId="3" fontId="17" fillId="18" borderId="0">
      <alignment horizontal="right"/>
    </xf>
    <xf numFmtId="201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205" fontId="36" fillId="0" borderId="0">
      <alignment horizontal="center"/>
    </xf>
    <xf numFmtId="205" fontId="36" fillId="0" borderId="0" applyFont="0" applyFill="0" applyBorder="0" applyAlignment="0" applyProtection="0">
      <alignment horizontal="center"/>
    </xf>
    <xf numFmtId="206" fontId="31" fillId="0" borderId="0" applyFont="0" applyFill="0" applyBorder="0" applyAlignment="0" applyProtection="0"/>
    <xf numFmtId="206" fontId="25" fillId="0" borderId="0" applyFont="0" applyFill="0" applyBorder="0" applyAlignment="0" applyProtection="0"/>
    <xf numFmtId="206" fontId="25" fillId="0" borderId="0">
      <alignment horizont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5" fillId="0" borderId="0"/>
    <xf numFmtId="0" fontId="9" fillId="0" borderId="0"/>
    <xf numFmtId="0" fontId="9" fillId="0" borderId="0"/>
    <xf numFmtId="0" fontId="60" fillId="0" borderId="0"/>
    <xf numFmtId="167" fontId="1" fillId="0" borderId="0" applyFont="0" applyFill="0" applyBorder="0" applyAlignment="0" applyProtection="0"/>
    <xf numFmtId="0" fontId="6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0" fontId="9" fillId="0" borderId="0"/>
  </cellStyleXfs>
  <cellXfs count="411">
    <xf numFmtId="0" fontId="0" fillId="0" borderId="0" xfId="0"/>
    <xf numFmtId="0" fontId="2" fillId="2" borderId="1" xfId="0" applyFont="1" applyFill="1" applyBorder="1" applyAlignment="1">
      <alignment horizontal="center"/>
    </xf>
    <xf numFmtId="15" fontId="7" fillId="2" borderId="16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right"/>
    </xf>
    <xf numFmtId="0" fontId="3" fillId="3" borderId="5" xfId="0" applyFont="1" applyFill="1" applyBorder="1"/>
    <xf numFmtId="171" fontId="3" fillId="3" borderId="5" xfId="0" applyNumberFormat="1" applyFont="1" applyFill="1" applyBorder="1"/>
    <xf numFmtId="3" fontId="4" fillId="4" borderId="5" xfId="0" applyNumberFormat="1" applyFont="1" applyFill="1" applyBorder="1" applyAlignment="1">
      <alignment horizontal="right"/>
    </xf>
    <xf numFmtId="170" fontId="5" fillId="3" borderId="5" xfId="2" applyNumberFormat="1" applyFont="1" applyFill="1" applyBorder="1" applyAlignment="1">
      <alignment horizontal="right"/>
    </xf>
    <xf numFmtId="170" fontId="6" fillId="3" borderId="5" xfId="2" applyNumberFormat="1" applyFont="1" applyFill="1" applyBorder="1" applyAlignment="1">
      <alignment horizontal="right"/>
    </xf>
    <xf numFmtId="0" fontId="3" fillId="3" borderId="0" xfId="0" applyFont="1" applyFill="1"/>
    <xf numFmtId="3" fontId="8" fillId="6" borderId="5" xfId="1" applyNumberFormat="1" applyFont="1" applyFill="1" applyBorder="1" applyAlignment="1">
      <alignment horizontal="right"/>
    </xf>
    <xf numFmtId="3" fontId="8" fillId="3" borderId="5" xfId="1" applyNumberFormat="1" applyFont="1" applyFill="1" applyBorder="1" applyAlignment="1">
      <alignment horizontal="right"/>
    </xf>
    <xf numFmtId="3" fontId="8" fillId="3" borderId="7" xfId="1" applyNumberFormat="1" applyFont="1" applyFill="1" applyBorder="1" applyAlignment="1">
      <alignment horizontal="right"/>
    </xf>
    <xf numFmtId="3" fontId="8" fillId="3" borderId="3" xfId="1" applyNumberFormat="1" applyFont="1" applyFill="1" applyBorder="1" applyAlignment="1">
      <alignment horizontal="right"/>
    </xf>
    <xf numFmtId="3" fontId="8" fillId="0" borderId="5" xfId="1" applyNumberFormat="1" applyFont="1" applyFill="1" applyBorder="1" applyAlignment="1">
      <alignment horizontal="right"/>
    </xf>
    <xf numFmtId="3" fontId="4" fillId="5" borderId="5" xfId="1" applyNumberFormat="1" applyFont="1" applyFill="1" applyBorder="1" applyAlignment="1">
      <alignment horizontal="right"/>
    </xf>
    <xf numFmtId="169" fontId="4" fillId="5" borderId="5" xfId="1" applyNumberFormat="1" applyFont="1" applyFill="1" applyBorder="1" applyAlignment="1">
      <alignment horizontal="right"/>
    </xf>
    <xf numFmtId="167" fontId="8" fillId="3" borderId="5" xfId="1" applyFont="1" applyFill="1" applyBorder="1" applyAlignment="1">
      <alignment horizontal="right"/>
    </xf>
    <xf numFmtId="3" fontId="2" fillId="2" borderId="14" xfId="1" applyNumberFormat="1" applyFont="1" applyFill="1" applyBorder="1" applyAlignment="1">
      <alignment horizontal="right"/>
    </xf>
    <xf numFmtId="3" fontId="2" fillId="2" borderId="11" xfId="1" applyNumberFormat="1" applyFont="1" applyFill="1" applyBorder="1" applyAlignment="1">
      <alignment horizontal="right"/>
    </xf>
    <xf numFmtId="169" fontId="3" fillId="3" borderId="15" xfId="1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169" fontId="3" fillId="3" borderId="5" xfId="1" applyNumberFormat="1" applyFont="1" applyFill="1" applyBorder="1" applyAlignment="1">
      <alignment horizontal="right"/>
    </xf>
    <xf numFmtId="170" fontId="3" fillId="3" borderId="5" xfId="2" applyNumberFormat="1" applyFont="1" applyFill="1" applyBorder="1" applyAlignment="1">
      <alignment horizontal="right"/>
    </xf>
    <xf numFmtId="171" fontId="3" fillId="3" borderId="5" xfId="0" applyNumberFormat="1" applyFont="1" applyFill="1" applyBorder="1" applyAlignment="1">
      <alignment horizontal="right"/>
    </xf>
    <xf numFmtId="169" fontId="4" fillId="4" borderId="5" xfId="1" applyNumberFormat="1" applyFont="1" applyFill="1" applyBorder="1" applyAlignment="1">
      <alignment horizontal="right"/>
    </xf>
    <xf numFmtId="169" fontId="3" fillId="3" borderId="0" xfId="1" applyNumberFormat="1" applyFont="1" applyFill="1" applyBorder="1" applyAlignment="1">
      <alignment horizontal="right"/>
    </xf>
    <xf numFmtId="169" fontId="3" fillId="3" borderId="7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3" fillId="3" borderId="0" xfId="0" applyFont="1" applyFill="1" applyAlignment="1">
      <alignment horizontal="right"/>
    </xf>
    <xf numFmtId="0" fontId="3" fillId="3" borderId="18" xfId="0" applyFont="1" applyFill="1" applyBorder="1" applyAlignment="1">
      <alignment horizontal="right"/>
    </xf>
    <xf numFmtId="169" fontId="2" fillId="2" borderId="5" xfId="1" applyNumberFormat="1" applyFont="1" applyFill="1" applyBorder="1" applyAlignment="1">
      <alignment horizontal="right"/>
    </xf>
    <xf numFmtId="169" fontId="2" fillId="2" borderId="4" xfId="1" applyNumberFormat="1" applyFont="1" applyFill="1" applyBorder="1" applyAlignment="1">
      <alignment horizontal="right"/>
    </xf>
    <xf numFmtId="169" fontId="2" fillId="2" borderId="10" xfId="1" applyNumberFormat="1" applyFont="1" applyFill="1" applyBorder="1" applyAlignment="1">
      <alignment horizontal="right"/>
    </xf>
    <xf numFmtId="0" fontId="3" fillId="7" borderId="0" xfId="0" applyFont="1" applyFill="1"/>
    <xf numFmtId="3" fontId="3" fillId="7" borderId="0" xfId="0" applyNumberFormat="1" applyFont="1" applyFill="1"/>
    <xf numFmtId="3" fontId="3" fillId="3" borderId="0" xfId="0" applyNumberFormat="1" applyFont="1" applyFill="1"/>
    <xf numFmtId="170" fontId="3" fillId="3" borderId="0" xfId="2" applyNumberFormat="1" applyFont="1" applyFill="1"/>
    <xf numFmtId="171" fontId="3" fillId="6" borderId="5" xfId="0" applyNumberFormat="1" applyFont="1" applyFill="1" applyBorder="1"/>
    <xf numFmtId="170" fontId="5" fillId="6" borderId="5" xfId="757" applyNumberFormat="1" applyFont="1" applyFill="1" applyBorder="1"/>
    <xf numFmtId="207" fontId="3" fillId="6" borderId="5" xfId="0" applyNumberFormat="1" applyFont="1" applyFill="1" applyBorder="1"/>
    <xf numFmtId="3" fontId="3" fillId="6" borderId="5" xfId="0" applyNumberFormat="1" applyFont="1" applyFill="1" applyBorder="1"/>
    <xf numFmtId="207" fontId="3" fillId="3" borderId="5" xfId="0" applyNumberFormat="1" applyFont="1" applyFill="1" applyBorder="1"/>
    <xf numFmtId="169" fontId="8" fillId="3" borderId="0" xfId="1" applyNumberFormat="1" applyFont="1" applyFill="1"/>
    <xf numFmtId="171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right"/>
    </xf>
    <xf numFmtId="3" fontId="3" fillId="3" borderId="0" xfId="0" applyNumberFormat="1" applyFont="1" applyFill="1" applyAlignment="1">
      <alignment horizontal="right"/>
    </xf>
    <xf numFmtId="3" fontId="8" fillId="3" borderId="5" xfId="1" applyNumberFormat="1" applyFont="1" applyFill="1" applyBorder="1"/>
    <xf numFmtId="169" fontId="0" fillId="0" borderId="0" xfId="0" applyNumberFormat="1"/>
    <xf numFmtId="3" fontId="3" fillId="3" borderId="15" xfId="0" applyNumberFormat="1" applyFont="1" applyFill="1" applyBorder="1" applyAlignment="1">
      <alignment horizontal="right"/>
    </xf>
    <xf numFmtId="0" fontId="38" fillId="0" borderId="0" xfId="0" applyFont="1" applyAlignment="1">
      <alignment wrapText="1"/>
    </xf>
    <xf numFmtId="208" fontId="5" fillId="3" borderId="13" xfId="2" applyNumberFormat="1" applyFont="1" applyFill="1" applyBorder="1" applyAlignment="1">
      <alignment horizontal="right"/>
    </xf>
    <xf numFmtId="3" fontId="8" fillId="0" borderId="5" xfId="1" quotePrefix="1" applyNumberFormat="1" applyFont="1" applyFill="1" applyBorder="1" applyAlignment="1">
      <alignment horizontal="right"/>
    </xf>
    <xf numFmtId="170" fontId="39" fillId="3" borderId="15" xfId="2" applyNumberFormat="1" applyFont="1" applyFill="1" applyBorder="1" applyAlignment="1">
      <alignment horizontal="right"/>
    </xf>
    <xf numFmtId="169" fontId="39" fillId="3" borderId="17" xfId="1" applyNumberFormat="1" applyFont="1" applyFill="1" applyBorder="1" applyAlignment="1">
      <alignment horizontal="right"/>
    </xf>
    <xf numFmtId="170" fontId="39" fillId="3" borderId="5" xfId="2" applyNumberFormat="1" applyFont="1" applyFill="1" applyBorder="1" applyAlignment="1">
      <alignment horizontal="right"/>
    </xf>
    <xf numFmtId="169" fontId="39" fillId="3" borderId="13" xfId="1" applyNumberFormat="1" applyFont="1" applyFill="1" applyBorder="1" applyAlignment="1">
      <alignment horizontal="right"/>
    </xf>
    <xf numFmtId="2" fontId="39" fillId="3" borderId="5" xfId="0" applyNumberFormat="1" applyFont="1" applyFill="1" applyBorder="1" applyAlignment="1">
      <alignment horizontal="right"/>
    </xf>
    <xf numFmtId="170" fontId="40" fillId="4" borderId="5" xfId="2" applyNumberFormat="1" applyFont="1" applyFill="1" applyBorder="1" applyAlignment="1">
      <alignment horizontal="right"/>
    </xf>
    <xf numFmtId="169" fontId="40" fillId="4" borderId="13" xfId="1" applyNumberFormat="1" applyFont="1" applyFill="1" applyBorder="1" applyAlignment="1">
      <alignment horizontal="right"/>
    </xf>
    <xf numFmtId="170" fontId="39" fillId="0" borderId="5" xfId="2" applyNumberFormat="1" applyFont="1" applyFill="1" applyBorder="1" applyAlignment="1">
      <alignment horizontal="right"/>
    </xf>
    <xf numFmtId="170" fontId="41" fillId="2" borderId="9" xfId="2" applyNumberFormat="1" applyFont="1" applyFill="1" applyBorder="1" applyAlignment="1">
      <alignment horizontal="right"/>
    </xf>
    <xf numFmtId="170" fontId="39" fillId="0" borderId="3" xfId="2" applyNumberFormat="1" applyFont="1" applyFill="1" applyBorder="1" applyAlignment="1">
      <alignment horizontal="right"/>
    </xf>
    <xf numFmtId="0" fontId="42" fillId="0" borderId="0" xfId="0" applyFont="1" applyAlignment="1">
      <alignment horizontal="right"/>
    </xf>
    <xf numFmtId="0" fontId="42" fillId="0" borderId="0" xfId="0" applyFont="1"/>
    <xf numFmtId="0" fontId="39" fillId="3" borderId="0" xfId="0" applyFont="1" applyFill="1" applyAlignment="1">
      <alignment horizontal="right"/>
    </xf>
    <xf numFmtId="0" fontId="39" fillId="3" borderId="18" xfId="0" applyFont="1" applyFill="1" applyBorder="1" applyAlignment="1">
      <alignment horizontal="right"/>
    </xf>
    <xf numFmtId="170" fontId="39" fillId="3" borderId="7" xfId="2" applyNumberFormat="1" applyFont="1" applyFill="1" applyBorder="1" applyAlignment="1">
      <alignment horizontal="right"/>
    </xf>
    <xf numFmtId="169" fontId="39" fillId="3" borderId="12" xfId="1" applyNumberFormat="1" applyFont="1" applyFill="1" applyBorder="1" applyAlignment="1">
      <alignment horizontal="right"/>
    </xf>
    <xf numFmtId="170" fontId="40" fillId="5" borderId="5" xfId="2" applyNumberFormat="1" applyFont="1" applyFill="1" applyBorder="1" applyAlignment="1">
      <alignment horizontal="right"/>
    </xf>
    <xf numFmtId="169" fontId="40" fillId="5" borderId="13" xfId="1" applyNumberFormat="1" applyFont="1" applyFill="1" applyBorder="1" applyAlignment="1">
      <alignment horizontal="right"/>
    </xf>
    <xf numFmtId="170" fontId="43" fillId="2" borderId="14" xfId="2" applyNumberFormat="1" applyFont="1" applyFill="1" applyBorder="1" applyAlignment="1">
      <alignment horizontal="right"/>
    </xf>
    <xf numFmtId="169" fontId="43" fillId="2" borderId="23" xfId="1" applyNumberFormat="1" applyFont="1" applyFill="1" applyBorder="1" applyAlignment="1">
      <alignment horizontal="right"/>
    </xf>
    <xf numFmtId="170" fontId="39" fillId="3" borderId="0" xfId="2" applyNumberFormat="1" applyFont="1" applyFill="1" applyBorder="1" applyAlignment="1">
      <alignment horizontal="right"/>
    </xf>
    <xf numFmtId="170" fontId="43" fillId="2" borderId="11" xfId="2" applyNumberFormat="1" applyFont="1" applyFill="1" applyBorder="1" applyAlignment="1">
      <alignment horizontal="right"/>
    </xf>
    <xf numFmtId="169" fontId="43" fillId="2" borderId="20" xfId="1" applyNumberFormat="1" applyFont="1" applyFill="1" applyBorder="1" applyAlignment="1">
      <alignment horizontal="right"/>
    </xf>
    <xf numFmtId="0" fontId="39" fillId="3" borderId="0" xfId="0" applyFont="1" applyFill="1"/>
    <xf numFmtId="170" fontId="39" fillId="3" borderId="0" xfId="2" applyNumberFormat="1" applyFont="1" applyFill="1"/>
    <xf numFmtId="0" fontId="39" fillId="3" borderId="5" xfId="0" applyFont="1" applyFill="1" applyBorder="1" applyAlignment="1">
      <alignment horizontal="right"/>
    </xf>
    <xf numFmtId="170" fontId="43" fillId="2" borderId="5" xfId="2" applyNumberFormat="1" applyFont="1" applyFill="1" applyBorder="1" applyAlignment="1">
      <alignment horizontal="right"/>
    </xf>
    <xf numFmtId="0" fontId="39" fillId="3" borderId="13" xfId="0" applyFont="1" applyFill="1" applyBorder="1" applyAlignment="1">
      <alignment horizontal="right"/>
    </xf>
    <xf numFmtId="169" fontId="43" fillId="2" borderId="13" xfId="1" applyNumberFormat="1" applyFont="1" applyFill="1" applyBorder="1" applyAlignment="1">
      <alignment horizontal="right"/>
    </xf>
    <xf numFmtId="169" fontId="0" fillId="0" borderId="0" xfId="1" applyNumberFormat="1" applyFont="1"/>
    <xf numFmtId="209" fontId="3" fillId="3" borderId="5" xfId="1" applyNumberFormat="1" applyFont="1" applyFill="1" applyBorder="1" applyAlignment="1">
      <alignment horizontal="right"/>
    </xf>
    <xf numFmtId="0" fontId="43" fillId="2" borderId="1" xfId="0" applyFont="1" applyFill="1" applyBorder="1" applyAlignment="1">
      <alignment horizontal="center"/>
    </xf>
    <xf numFmtId="0" fontId="43" fillId="2" borderId="16" xfId="0" applyFont="1" applyFill="1" applyBorder="1" applyAlignment="1">
      <alignment horizontal="center"/>
    </xf>
    <xf numFmtId="210" fontId="3" fillId="3" borderId="0" xfId="0" applyNumberFormat="1" applyFont="1" applyFill="1"/>
    <xf numFmtId="210" fontId="3" fillId="3" borderId="0" xfId="0" applyNumberFormat="1" applyFont="1" applyFill="1" applyAlignment="1">
      <alignment horizontal="right"/>
    </xf>
    <xf numFmtId="3" fontId="4" fillId="4" borderId="13" xfId="0" applyNumberFormat="1" applyFont="1" applyFill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211" fontId="41" fillId="2" borderId="19" xfId="1" applyNumberFormat="1" applyFont="1" applyFill="1" applyBorder="1" applyAlignment="1">
      <alignment horizontal="right"/>
    </xf>
    <xf numFmtId="211" fontId="7" fillId="2" borderId="9" xfId="1" applyNumberFormat="1" applyFont="1" applyFill="1" applyBorder="1" applyAlignment="1">
      <alignment horizontal="right"/>
    </xf>
    <xf numFmtId="211" fontId="3" fillId="3" borderId="5" xfId="1" applyNumberFormat="1" applyFont="1" applyFill="1" applyBorder="1" applyAlignment="1">
      <alignment horizontal="right"/>
    </xf>
    <xf numFmtId="211" fontId="3" fillId="3" borderId="13" xfId="1" applyNumberFormat="1" applyFont="1" applyFill="1" applyBorder="1" applyAlignment="1">
      <alignment horizontal="right"/>
    </xf>
    <xf numFmtId="3" fontId="40" fillId="5" borderId="13" xfId="1" applyNumberFormat="1" applyFont="1" applyFill="1" applyBorder="1" applyAlignment="1">
      <alignment horizontal="right"/>
    </xf>
    <xf numFmtId="3" fontId="43" fillId="2" borderId="20" xfId="1" applyNumberFormat="1" applyFont="1" applyFill="1" applyBorder="1" applyAlignment="1">
      <alignment horizontal="right"/>
    </xf>
    <xf numFmtId="211" fontId="39" fillId="3" borderId="13" xfId="1" applyNumberFormat="1" applyFont="1" applyFill="1" applyBorder="1" applyAlignment="1">
      <alignment horizontal="right"/>
    </xf>
    <xf numFmtId="211" fontId="3" fillId="0" borderId="5" xfId="1" applyNumberFormat="1" applyFont="1" applyFill="1" applyBorder="1" applyAlignment="1">
      <alignment horizontal="right"/>
    </xf>
    <xf numFmtId="0" fontId="3" fillId="0" borderId="0" xfId="0" applyFont="1"/>
    <xf numFmtId="170" fontId="0" fillId="0" borderId="0" xfId="2" applyNumberFormat="1" applyFont="1"/>
    <xf numFmtId="0" fontId="45" fillId="0" borderId="0" xfId="982"/>
    <xf numFmtId="14" fontId="45" fillId="0" borderId="0" xfId="982" applyNumberFormat="1"/>
    <xf numFmtId="0" fontId="45" fillId="0" borderId="0" xfId="982" applyAlignment="1">
      <alignment horizontal="center"/>
    </xf>
    <xf numFmtId="212" fontId="45" fillId="0" borderId="25" xfId="982" applyNumberFormat="1" applyBorder="1"/>
    <xf numFmtId="0" fontId="9" fillId="0" borderId="25" xfId="982" applyFont="1" applyBorder="1"/>
    <xf numFmtId="172" fontId="0" fillId="0" borderId="0" xfId="943" applyNumberFormat="1" applyFont="1"/>
    <xf numFmtId="172" fontId="45" fillId="0" borderId="0" xfId="982" applyNumberFormat="1"/>
    <xf numFmtId="172" fontId="0" fillId="0" borderId="0" xfId="943" applyNumberFormat="1" applyFont="1" applyFill="1"/>
    <xf numFmtId="0" fontId="9" fillId="0" borderId="0" xfId="982" applyFont="1"/>
    <xf numFmtId="172" fontId="0" fillId="0" borderId="25" xfId="943" applyNumberFormat="1" applyFont="1" applyFill="1" applyBorder="1"/>
    <xf numFmtId="172" fontId="0" fillId="0" borderId="25" xfId="943" applyNumberFormat="1" applyFont="1" applyBorder="1"/>
    <xf numFmtId="172" fontId="9" fillId="0" borderId="0" xfId="943" applyNumberFormat="1" applyFont="1"/>
    <xf numFmtId="172" fontId="0" fillId="0" borderId="28" xfId="943" applyNumberFormat="1" applyFont="1" applyBorder="1"/>
    <xf numFmtId="0" fontId="9" fillId="0" borderId="0" xfId="982" applyFont="1" applyAlignment="1">
      <alignment horizontal="center"/>
    </xf>
    <xf numFmtId="213" fontId="0" fillId="0" borderId="0" xfId="943" applyNumberFormat="1" applyFont="1"/>
    <xf numFmtId="172" fontId="0" fillId="0" borderId="0" xfId="943" applyNumberFormat="1" applyFont="1" applyBorder="1"/>
    <xf numFmtId="172" fontId="0" fillId="20" borderId="0" xfId="943" applyNumberFormat="1" applyFont="1" applyFill="1"/>
    <xf numFmtId="172" fontId="0" fillId="0" borderId="0" xfId="943" applyNumberFormat="1" applyFont="1" applyFill="1" applyBorder="1"/>
    <xf numFmtId="172" fontId="0" fillId="20" borderId="25" xfId="943" applyNumberFormat="1" applyFont="1" applyFill="1" applyBorder="1"/>
    <xf numFmtId="213" fontId="9" fillId="0" borderId="0" xfId="943" applyNumberFormat="1" applyFont="1" applyFill="1"/>
    <xf numFmtId="172" fontId="0" fillId="0" borderId="28" xfId="943" applyNumberFormat="1" applyFont="1" applyFill="1" applyBorder="1"/>
    <xf numFmtId="213" fontId="45" fillId="0" borderId="0" xfId="982" applyNumberFormat="1"/>
    <xf numFmtId="0" fontId="52" fillId="0" borderId="0" xfId="983" applyFont="1" applyAlignment="1" applyProtection="1">
      <alignment horizontal="left" indent="1"/>
      <protection locked="0"/>
    </xf>
    <xf numFmtId="0" fontId="52" fillId="0" borderId="0" xfId="983" applyFont="1" applyAlignment="1" applyProtection="1">
      <alignment horizontal="left" indent="2"/>
      <protection locked="0"/>
    </xf>
    <xf numFmtId="172" fontId="1" fillId="0" borderId="0" xfId="4" quotePrefix="1" applyNumberFormat="1" applyFont="1" applyFill="1" applyBorder="1"/>
    <xf numFmtId="0" fontId="52" fillId="0" borderId="0" xfId="984" applyFont="1" applyAlignment="1" applyProtection="1">
      <alignment horizontal="left" indent="2"/>
      <protection locked="0"/>
    </xf>
    <xf numFmtId="172" fontId="1" fillId="0" borderId="0" xfId="4" applyNumberFormat="1" applyFont="1" applyFill="1" applyBorder="1"/>
    <xf numFmtId="215" fontId="52" fillId="0" borderId="0" xfId="983" applyNumberFormat="1" applyFont="1" applyAlignment="1" applyProtection="1">
      <alignment horizontal="left" indent="1"/>
      <protection locked="0"/>
    </xf>
    <xf numFmtId="215" fontId="52" fillId="0" borderId="0" xfId="984" applyNumberFormat="1" applyFont="1" applyAlignment="1" applyProtection="1">
      <alignment horizontal="left" indent="2"/>
      <protection locked="0"/>
    </xf>
    <xf numFmtId="2" fontId="45" fillId="0" borderId="0" xfId="982" applyNumberFormat="1"/>
    <xf numFmtId="0" fontId="53" fillId="0" borderId="30" xfId="983" applyFont="1" applyBorder="1" applyAlignment="1" applyProtection="1">
      <alignment horizontal="left"/>
      <protection locked="0"/>
    </xf>
    <xf numFmtId="172" fontId="44" fillId="0" borderId="30" xfId="4" applyNumberFormat="1" applyFont="1" applyFill="1" applyBorder="1"/>
    <xf numFmtId="0" fontId="52" fillId="0" borderId="0" xfId="491" applyFont="1" applyAlignment="1" applyProtection="1">
      <alignment horizontal="left" indent="1"/>
      <protection locked="0"/>
    </xf>
    <xf numFmtId="170" fontId="54" fillId="0" borderId="0" xfId="983" applyNumberFormat="1" applyFont="1" applyAlignment="1" applyProtection="1">
      <alignment horizontal="left" indent="1"/>
      <protection locked="0"/>
    </xf>
    <xf numFmtId="170" fontId="42" fillId="0" borderId="0" xfId="5" applyNumberFormat="1" applyFont="1" applyFill="1" applyBorder="1"/>
    <xf numFmtId="0" fontId="1" fillId="0" borderId="0" xfId="491"/>
    <xf numFmtId="0" fontId="52" fillId="0" borderId="0" xfId="984" applyFont="1" applyAlignment="1" applyProtection="1">
      <alignment horizontal="left"/>
      <protection locked="0"/>
    </xf>
    <xf numFmtId="0" fontId="52" fillId="0" borderId="0" xfId="984" applyFont="1" applyAlignment="1" applyProtection="1">
      <alignment horizontal="left" indent="1"/>
      <protection locked="0"/>
    </xf>
    <xf numFmtId="172" fontId="52" fillId="0" borderId="0" xfId="4" quotePrefix="1" applyNumberFormat="1" applyFont="1" applyFill="1" applyBorder="1"/>
    <xf numFmtId="172" fontId="1" fillId="0" borderId="0" xfId="4" quotePrefix="1" applyNumberFormat="1" applyFont="1" applyFill="1" applyBorder="1" applyAlignment="1">
      <alignment horizontal="right"/>
    </xf>
    <xf numFmtId="172" fontId="1" fillId="0" borderId="0" xfId="491" applyNumberFormat="1"/>
    <xf numFmtId="172" fontId="1" fillId="7" borderId="0" xfId="491" applyNumberFormat="1" applyFill="1"/>
    <xf numFmtId="172" fontId="1" fillId="0" borderId="0" xfId="7" applyNumberFormat="1" applyFont="1" applyFill="1" applyBorder="1"/>
    <xf numFmtId="0" fontId="53" fillId="0" borderId="30" xfId="984" applyFont="1" applyBorder="1" applyAlignment="1" applyProtection="1">
      <alignment horizontal="left"/>
      <protection locked="0"/>
    </xf>
    <xf numFmtId="170" fontId="54" fillId="0" borderId="0" xfId="984" applyNumberFormat="1" applyFont="1" applyAlignment="1" applyProtection="1">
      <alignment horizontal="left" indent="1"/>
      <protection locked="0"/>
    </xf>
    <xf numFmtId="170" fontId="42" fillId="0" borderId="9" xfId="4" applyNumberFormat="1" applyFont="1" applyFill="1" applyBorder="1"/>
    <xf numFmtId="0" fontId="51" fillId="21" borderId="30" xfId="6" applyFont="1" applyFill="1" applyBorder="1" applyAlignment="1">
      <alignment horizontal="left"/>
    </xf>
    <xf numFmtId="0" fontId="55" fillId="21" borderId="29" xfId="6" applyFont="1" applyFill="1" applyBorder="1" applyAlignment="1">
      <alignment horizontal="left"/>
    </xf>
    <xf numFmtId="172" fontId="1" fillId="0" borderId="25" xfId="4" applyNumberFormat="1" applyFont="1" applyFill="1" applyBorder="1"/>
    <xf numFmtId="170" fontId="54" fillId="0" borderId="9" xfId="984" applyNumberFormat="1" applyFont="1" applyBorder="1" applyAlignment="1" applyProtection="1">
      <alignment horizontal="left" indent="1"/>
      <protection locked="0"/>
    </xf>
    <xf numFmtId="0" fontId="52" fillId="0" borderId="0" xfId="6" applyFont="1"/>
    <xf numFmtId="0" fontId="60" fillId="0" borderId="0" xfId="987"/>
    <xf numFmtId="172" fontId="60" fillId="0" borderId="0" xfId="943" applyNumberFormat="1" applyFont="1"/>
    <xf numFmtId="172" fontId="60" fillId="0" borderId="25" xfId="943" applyNumberFormat="1" applyFont="1" applyBorder="1"/>
    <xf numFmtId="172" fontId="60" fillId="0" borderId="28" xfId="943" applyNumberFormat="1" applyFont="1" applyBorder="1"/>
    <xf numFmtId="172" fontId="60" fillId="0" borderId="0" xfId="943" applyNumberFormat="1" applyFont="1" applyBorder="1"/>
    <xf numFmtId="213" fontId="60" fillId="0" borderId="0" xfId="943" applyNumberFormat="1" applyFont="1"/>
    <xf numFmtId="213" fontId="60" fillId="0" borderId="0" xfId="987" applyNumberFormat="1"/>
    <xf numFmtId="0" fontId="9" fillId="0" borderId="0" xfId="987" applyFont="1"/>
    <xf numFmtId="172" fontId="60" fillId="0" borderId="0" xfId="987" applyNumberFormat="1"/>
    <xf numFmtId="172" fontId="60" fillId="0" borderId="25" xfId="987" applyNumberFormat="1" applyBorder="1"/>
    <xf numFmtId="0" fontId="60" fillId="0" borderId="25" xfId="987" applyBorder="1"/>
    <xf numFmtId="0" fontId="60" fillId="0" borderId="0" xfId="987" applyAlignment="1">
      <alignment horizontal="center"/>
    </xf>
    <xf numFmtId="212" fontId="60" fillId="0" borderId="25" xfId="987" applyNumberFormat="1" applyBorder="1"/>
    <xf numFmtId="0" fontId="9" fillId="0" borderId="25" xfId="987" applyFont="1" applyBorder="1"/>
    <xf numFmtId="0" fontId="9" fillId="0" borderId="25" xfId="987" applyFont="1" applyBorder="1" applyAlignment="1">
      <alignment horizontal="center"/>
    </xf>
    <xf numFmtId="14" fontId="60" fillId="0" borderId="0" xfId="987" applyNumberFormat="1"/>
    <xf numFmtId="22" fontId="60" fillId="0" borderId="0" xfId="987" applyNumberFormat="1"/>
    <xf numFmtId="0" fontId="11" fillId="7" borderId="25" xfId="987" applyFont="1" applyFill="1" applyBorder="1" applyAlignment="1">
      <alignment horizontal="center"/>
    </xf>
    <xf numFmtId="172" fontId="9" fillId="0" borderId="0" xfId="943" applyNumberFormat="1" applyFont="1" applyFill="1"/>
    <xf numFmtId="172" fontId="9" fillId="0" borderId="25" xfId="943" applyNumberFormat="1" applyFont="1" applyFill="1" applyBorder="1"/>
    <xf numFmtId="172" fontId="60" fillId="0" borderId="0" xfId="943" applyNumberFormat="1" applyFont="1" applyFill="1"/>
    <xf numFmtId="0" fontId="9" fillId="0" borderId="0" xfId="987" applyFont="1" applyAlignment="1">
      <alignment horizontal="center"/>
    </xf>
    <xf numFmtId="172" fontId="60" fillId="0" borderId="25" xfId="943" applyNumberFormat="1" applyFont="1" applyFill="1" applyBorder="1"/>
    <xf numFmtId="172" fontId="60" fillId="0" borderId="28" xfId="943" applyNumberFormat="1" applyFont="1" applyFill="1" applyBorder="1"/>
    <xf numFmtId="0" fontId="49" fillId="0" borderId="0" xfId="987" applyFont="1"/>
    <xf numFmtId="0" fontId="50" fillId="0" borderId="0" xfId="987" applyFont="1"/>
    <xf numFmtId="167" fontId="49" fillId="0" borderId="0" xfId="943" applyFont="1" applyAlignment="1">
      <alignment horizontal="right"/>
    </xf>
    <xf numFmtId="10" fontId="60" fillId="0" borderId="0" xfId="5" applyNumberFormat="1" applyFont="1"/>
    <xf numFmtId="0" fontId="46" fillId="0" borderId="0" xfId="987" applyFont="1"/>
    <xf numFmtId="0" fontId="47" fillId="0" borderId="0" xfId="987" applyFont="1" applyAlignment="1">
      <alignment horizontal="center"/>
    </xf>
    <xf numFmtId="212" fontId="48" fillId="0" borderId="25" xfId="987" applyNumberFormat="1" applyFont="1" applyBorder="1" applyAlignment="1">
      <alignment horizontal="center"/>
    </xf>
    <xf numFmtId="172" fontId="60" fillId="0" borderId="0" xfId="943" applyNumberFormat="1" applyFont="1" applyFill="1" applyBorder="1"/>
    <xf numFmtId="37" fontId="9" fillId="0" borderId="0" xfId="987" applyNumberFormat="1" applyFont="1"/>
    <xf numFmtId="0" fontId="51" fillId="21" borderId="29" xfId="6" applyFont="1" applyFill="1" applyBorder="1" applyAlignment="1">
      <alignment horizontal="left"/>
    </xf>
    <xf numFmtId="172" fontId="1" fillId="0" borderId="0" xfId="4" applyNumberFormat="1" applyFont="1" applyBorder="1"/>
    <xf numFmtId="172" fontId="1" fillId="0" borderId="0" xfId="4" quotePrefix="1" applyNumberFormat="1" applyFont="1" applyBorder="1"/>
    <xf numFmtId="172" fontId="60" fillId="19" borderId="0" xfId="943" applyNumberFormat="1" applyFont="1" applyFill="1"/>
    <xf numFmtId="2" fontId="60" fillId="0" borderId="0" xfId="987" applyNumberFormat="1"/>
    <xf numFmtId="212" fontId="60" fillId="0" borderId="25" xfId="987" applyNumberFormat="1" applyBorder="1" applyAlignment="1">
      <alignment horizontal="center"/>
    </xf>
    <xf numFmtId="172" fontId="9" fillId="0" borderId="0" xfId="943" quotePrefix="1" applyNumberFormat="1" applyFont="1" applyFill="1" applyBorder="1"/>
    <xf numFmtId="172" fontId="9" fillId="0" borderId="0" xfId="987" applyNumberFormat="1" applyFont="1"/>
    <xf numFmtId="0" fontId="11" fillId="0" borderId="0" xfId="987" applyFont="1" applyAlignment="1">
      <alignment horizontal="center"/>
    </xf>
    <xf numFmtId="212" fontId="11" fillId="0" borderId="25" xfId="987" applyNumberFormat="1" applyFont="1" applyBorder="1" applyAlignment="1">
      <alignment horizontal="center"/>
    </xf>
    <xf numFmtId="37" fontId="60" fillId="0" borderId="0" xfId="987" applyNumberFormat="1"/>
    <xf numFmtId="214" fontId="60" fillId="0" borderId="0" xfId="987" applyNumberFormat="1"/>
    <xf numFmtId="0" fontId="11" fillId="0" borderId="25" xfId="987" applyFont="1" applyBorder="1"/>
    <xf numFmtId="172" fontId="60" fillId="19" borderId="0" xfId="987" applyNumberFormat="1" applyFill="1"/>
    <xf numFmtId="172" fontId="9" fillId="19" borderId="0" xfId="943" applyNumberFormat="1" applyFont="1" applyFill="1"/>
    <xf numFmtId="167" fontId="0" fillId="0" borderId="0" xfId="1" applyFont="1"/>
    <xf numFmtId="0" fontId="38" fillId="0" borderId="0" xfId="0" applyFont="1"/>
    <xf numFmtId="0" fontId="61" fillId="0" borderId="0" xfId="0" applyFont="1" applyAlignment="1">
      <alignment wrapText="1"/>
    </xf>
    <xf numFmtId="0" fontId="61" fillId="0" borderId="0" xfId="0" applyFont="1" applyAlignment="1">
      <alignment horizontal="right" wrapText="1"/>
    </xf>
    <xf numFmtId="0" fontId="61" fillId="0" borderId="14" xfId="0" applyFont="1" applyBorder="1" applyAlignment="1">
      <alignment horizontal="right" wrapText="1"/>
    </xf>
    <xf numFmtId="1" fontId="0" fillId="0" borderId="0" xfId="0" applyNumberFormat="1"/>
    <xf numFmtId="0" fontId="49" fillId="0" borderId="0" xfId="0" applyFont="1"/>
    <xf numFmtId="172" fontId="38" fillId="0" borderId="0" xfId="0" applyNumberFormat="1" applyFont="1" applyAlignment="1">
      <alignment wrapText="1"/>
    </xf>
    <xf numFmtId="172" fontId="49" fillId="0" borderId="0" xfId="0" applyNumberFormat="1" applyFont="1" applyAlignment="1">
      <alignment horizontal="right" wrapText="1"/>
    </xf>
    <xf numFmtId="3" fontId="49" fillId="0" borderId="0" xfId="0" applyNumberFormat="1" applyFont="1" applyAlignment="1">
      <alignment horizontal="right" vertical="center" wrapText="1"/>
    </xf>
    <xf numFmtId="172" fontId="38" fillId="0" borderId="14" xfId="0" applyNumberFormat="1" applyFont="1" applyBorder="1" applyAlignment="1">
      <alignment wrapText="1"/>
    </xf>
    <xf numFmtId="172" fontId="0" fillId="0" borderId="14" xfId="1" applyNumberFormat="1" applyFont="1" applyBorder="1"/>
    <xf numFmtId="172" fontId="0" fillId="0" borderId="0" xfId="1" applyNumberFormat="1" applyFont="1"/>
    <xf numFmtId="0" fontId="61" fillId="0" borderId="0" xfId="0" applyFont="1"/>
    <xf numFmtId="0" fontId="49" fillId="0" borderId="0" xfId="0" applyFont="1" applyAlignment="1">
      <alignment horizontal="right" vertical="center" wrapText="1"/>
    </xf>
    <xf numFmtId="172" fontId="49" fillId="0" borderId="0" xfId="0" applyNumberFormat="1" applyFont="1" applyAlignment="1">
      <alignment wrapText="1"/>
    </xf>
    <xf numFmtId="3" fontId="49" fillId="0" borderId="14" xfId="0" applyNumberFormat="1" applyFont="1" applyBorder="1" applyAlignment="1">
      <alignment horizontal="right" vertical="center" wrapText="1"/>
    </xf>
    <xf numFmtId="172" fontId="49" fillId="0" borderId="14" xfId="0" applyNumberFormat="1" applyFont="1" applyBorder="1" applyAlignment="1">
      <alignment horizontal="right" wrapText="1"/>
    </xf>
    <xf numFmtId="3" fontId="49" fillId="0" borderId="0" xfId="0" applyNumberFormat="1" applyFont="1" applyAlignment="1">
      <alignment horizontal="right" wrapText="1"/>
    </xf>
    <xf numFmtId="3" fontId="62" fillId="0" borderId="0" xfId="0" applyNumberFormat="1" applyFont="1" applyAlignment="1">
      <alignment horizontal="right" vertical="center" wrapText="1"/>
    </xf>
    <xf numFmtId="172" fontId="0" fillId="0" borderId="31" xfId="1" applyNumberFormat="1" applyFont="1" applyBorder="1"/>
    <xf numFmtId="0" fontId="49" fillId="0" borderId="0" xfId="0" applyFont="1" applyAlignment="1">
      <alignment horizontal="right" wrapText="1"/>
    </xf>
    <xf numFmtId="0" fontId="49" fillId="0" borderId="0" xfId="0" applyFont="1" applyAlignment="1">
      <alignment wrapText="1"/>
    </xf>
    <xf numFmtId="0" fontId="38" fillId="0" borderId="14" xfId="0" applyFont="1" applyBorder="1" applyAlignment="1">
      <alignment wrapText="1"/>
    </xf>
    <xf numFmtId="3" fontId="49" fillId="0" borderId="31" xfId="0" applyNumberFormat="1" applyFont="1" applyBorder="1" applyAlignment="1">
      <alignment horizontal="right" wrapText="1"/>
    </xf>
    <xf numFmtId="14" fontId="0" fillId="0" borderId="0" xfId="0" applyNumberFormat="1"/>
    <xf numFmtId="216" fontId="49" fillId="7" borderId="31" xfId="0" applyNumberFormat="1" applyFont="1" applyFill="1" applyBorder="1" applyAlignment="1">
      <alignment horizontal="right" wrapText="1"/>
    </xf>
    <xf numFmtId="0" fontId="49" fillId="0" borderId="31" xfId="0" applyFont="1" applyBorder="1"/>
    <xf numFmtId="0" fontId="49" fillId="7" borderId="0" xfId="0" applyFont="1" applyFill="1" applyAlignment="1">
      <alignment horizontal="right" wrapText="1"/>
    </xf>
    <xf numFmtId="167" fontId="0" fillId="0" borderId="0" xfId="0" applyNumberFormat="1"/>
    <xf numFmtId="0" fontId="0" fillId="7" borderId="0" xfId="0" applyFill="1"/>
    <xf numFmtId="217" fontId="0" fillId="0" borderId="0" xfId="0" applyNumberFormat="1"/>
    <xf numFmtId="0" fontId="65" fillId="0" borderId="0" xfId="0" applyFont="1"/>
    <xf numFmtId="0" fontId="65" fillId="0" borderId="0" xfId="0" applyFont="1" applyAlignment="1">
      <alignment wrapText="1"/>
    </xf>
    <xf numFmtId="172" fontId="0" fillId="0" borderId="0" xfId="0" applyNumberFormat="1"/>
    <xf numFmtId="172" fontId="0" fillId="0" borderId="14" xfId="0" applyNumberFormat="1" applyBorder="1"/>
    <xf numFmtId="0" fontId="58" fillId="0" borderId="0" xfId="0" applyFont="1" applyAlignment="1">
      <alignment wrapText="1"/>
    </xf>
    <xf numFmtId="0" fontId="58" fillId="0" borderId="0" xfId="0" applyFont="1" applyAlignment="1">
      <alignment horizontal="right" wrapText="1"/>
    </xf>
    <xf numFmtId="0" fontId="58" fillId="0" borderId="0" xfId="0" applyFont="1" applyAlignment="1">
      <alignment horizontal="right"/>
    </xf>
    <xf numFmtId="0" fontId="58" fillId="0" borderId="14" xfId="0" applyFont="1" applyBorder="1" applyAlignment="1">
      <alignment horizontal="right" wrapText="1"/>
    </xf>
    <xf numFmtId="0" fontId="0" fillId="22" borderId="0" xfId="0" applyFill="1"/>
    <xf numFmtId="169" fontId="0" fillId="22" borderId="0" xfId="1" applyNumberFormat="1" applyFont="1" applyFill="1"/>
    <xf numFmtId="0" fontId="58" fillId="0" borderId="0" xfId="0" applyFont="1"/>
    <xf numFmtId="0" fontId="59" fillId="0" borderId="0" xfId="0" applyFont="1"/>
    <xf numFmtId="172" fontId="65" fillId="0" borderId="0" xfId="0" applyNumberFormat="1" applyFont="1"/>
    <xf numFmtId="172" fontId="65" fillId="0" borderId="0" xfId="1" applyNumberFormat="1" applyFont="1" applyAlignment="1">
      <alignment wrapText="1"/>
    </xf>
    <xf numFmtId="3" fontId="66" fillId="0" borderId="0" xfId="0" applyNumberFormat="1" applyFont="1" applyAlignment="1">
      <alignment horizontal="right" vertical="center"/>
    </xf>
    <xf numFmtId="0" fontId="66" fillId="0" borderId="0" xfId="0" applyFont="1" applyAlignment="1">
      <alignment horizontal="right" vertical="center"/>
    </xf>
    <xf numFmtId="0" fontId="67" fillId="0" borderId="0" xfId="0" applyFont="1"/>
    <xf numFmtId="172" fontId="65" fillId="0" borderId="0" xfId="1" applyNumberFormat="1" applyFont="1"/>
    <xf numFmtId="172" fontId="65" fillId="0" borderId="0" xfId="1" applyNumberFormat="1" applyFont="1" applyBorder="1"/>
    <xf numFmtId="3" fontId="66" fillId="0" borderId="0" xfId="0" applyNumberFormat="1" applyFont="1" applyAlignment="1">
      <alignment horizontal="right" vertical="center" wrapText="1"/>
    </xf>
    <xf numFmtId="0" fontId="66" fillId="0" borderId="0" xfId="0" applyFont="1" applyAlignment="1">
      <alignment horizontal="right" vertical="center" wrapText="1"/>
    </xf>
    <xf numFmtId="169" fontId="0" fillId="7" borderId="0" xfId="1" applyNumberFormat="1" applyFont="1" applyFill="1"/>
    <xf numFmtId="172" fontId="65" fillId="22" borderId="25" xfId="0" applyNumberFormat="1" applyFont="1" applyFill="1" applyBorder="1"/>
    <xf numFmtId="172" fontId="65" fillId="0" borderId="25" xfId="0" applyNumberFormat="1" applyFont="1" applyBorder="1"/>
    <xf numFmtId="0" fontId="66" fillId="0" borderId="25" xfId="0" applyFont="1" applyBorder="1" applyAlignment="1">
      <alignment horizontal="right" vertical="center" wrapText="1"/>
    </xf>
    <xf numFmtId="172" fontId="65" fillId="0" borderId="14" xfId="0" applyNumberFormat="1" applyFont="1" applyBorder="1"/>
    <xf numFmtId="172" fontId="65" fillId="0" borderId="14" xfId="0" quotePrefix="1" applyNumberFormat="1" applyFont="1" applyBorder="1"/>
    <xf numFmtId="172" fontId="65" fillId="0" borderId="0" xfId="0" quotePrefix="1" applyNumberFormat="1" applyFont="1"/>
    <xf numFmtId="172" fontId="59" fillId="0" borderId="0" xfId="1" applyNumberFormat="1" applyFont="1" applyAlignment="1">
      <alignment horizontal="right" wrapText="1"/>
    </xf>
    <xf numFmtId="3" fontId="59" fillId="0" borderId="14" xfId="0" applyNumberFormat="1" applyFont="1" applyBorder="1" applyAlignment="1">
      <alignment horizontal="right" wrapText="1"/>
    </xf>
    <xf numFmtId="0" fontId="65" fillId="0" borderId="14" xfId="0" applyFont="1" applyBorder="1"/>
    <xf numFmtId="0" fontId="44" fillId="0" borderId="0" xfId="0" applyFont="1"/>
    <xf numFmtId="3" fontId="66" fillId="0" borderId="0" xfId="0" applyNumberFormat="1" applyFont="1" applyAlignment="1">
      <alignment horizontal="right"/>
    </xf>
    <xf numFmtId="172" fontId="66" fillId="0" borderId="0" xfId="1" applyNumberFormat="1" applyFont="1" applyAlignment="1">
      <alignment horizontal="right"/>
    </xf>
    <xf numFmtId="172" fontId="66" fillId="0" borderId="14" xfId="1" applyNumberFormat="1" applyFont="1" applyBorder="1" applyAlignment="1">
      <alignment horizontal="right"/>
    </xf>
    <xf numFmtId="172" fontId="65" fillId="0" borderId="31" xfId="0" applyNumberFormat="1" applyFont="1" applyBorder="1"/>
    <xf numFmtId="210" fontId="3" fillId="0" borderId="0" xfId="0" applyNumberFormat="1" applyFont="1"/>
    <xf numFmtId="208" fontId="68" fillId="3" borderId="13" xfId="2" applyNumberFormat="1" applyFont="1" applyFill="1" applyBorder="1" applyAlignment="1">
      <alignment horizontal="right"/>
    </xf>
    <xf numFmtId="207" fontId="3" fillId="0" borderId="13" xfId="0" applyNumberFormat="1" applyFont="1" applyBorder="1" applyAlignment="1">
      <alignment horizontal="right"/>
    </xf>
    <xf numFmtId="210" fontId="3" fillId="7" borderId="32" xfId="0" applyNumberFormat="1" applyFont="1" applyFill="1" applyBorder="1" applyAlignment="1">
      <alignment horizontal="center"/>
    </xf>
    <xf numFmtId="210" fontId="3" fillId="3" borderId="24" xfId="0" applyNumberFormat="1" applyFont="1" applyFill="1" applyBorder="1" applyAlignment="1">
      <alignment horizontal="center"/>
    </xf>
    <xf numFmtId="210" fontId="3" fillId="7" borderId="33" xfId="0" applyNumberFormat="1" applyFont="1" applyFill="1" applyBorder="1" applyAlignment="1">
      <alignment horizontal="center"/>
    </xf>
    <xf numFmtId="210" fontId="3" fillId="3" borderId="34" xfId="0" applyNumberFormat="1" applyFont="1" applyFill="1" applyBorder="1" applyAlignment="1">
      <alignment horizontal="center"/>
    </xf>
    <xf numFmtId="0" fontId="69" fillId="2" borderId="35" xfId="0" applyFont="1" applyFill="1" applyBorder="1" applyAlignment="1">
      <alignment horizontal="center"/>
    </xf>
    <xf numFmtId="0" fontId="69" fillId="2" borderId="36" xfId="0" applyFont="1" applyFill="1" applyBorder="1" applyAlignment="1">
      <alignment horizontal="center"/>
    </xf>
    <xf numFmtId="0" fontId="61" fillId="0" borderId="0" xfId="0" applyFont="1" applyAlignment="1">
      <alignment horizontal="right"/>
    </xf>
    <xf numFmtId="0" fontId="61" fillId="0" borderId="14" xfId="0" applyFont="1" applyBorder="1" applyAlignment="1">
      <alignment horizontal="right"/>
    </xf>
    <xf numFmtId="3" fontId="49" fillId="0" borderId="0" xfId="0" applyNumberFormat="1" applyFont="1" applyAlignment="1">
      <alignment horizontal="right"/>
    </xf>
    <xf numFmtId="0" fontId="49" fillId="0" borderId="0" xfId="0" applyFont="1" applyAlignment="1">
      <alignment horizontal="right"/>
    </xf>
    <xf numFmtId="0" fontId="59" fillId="0" borderId="0" xfId="0" applyFont="1" applyAlignment="1">
      <alignment horizontal="right"/>
    </xf>
    <xf numFmtId="0" fontId="49" fillId="0" borderId="14" xfId="0" applyFont="1" applyBorder="1" applyAlignment="1">
      <alignment horizontal="right"/>
    </xf>
    <xf numFmtId="0" fontId="59" fillId="0" borderId="14" xfId="0" applyFont="1" applyBorder="1" applyAlignment="1">
      <alignment horizontal="right"/>
    </xf>
    <xf numFmtId="3" fontId="49" fillId="0" borderId="14" xfId="0" applyNumberFormat="1" applyFont="1" applyBorder="1" applyAlignment="1">
      <alignment horizontal="right"/>
    </xf>
    <xf numFmtId="3" fontId="59" fillId="0" borderId="14" xfId="0" applyNumberFormat="1" applyFont="1" applyBorder="1" applyAlignment="1">
      <alignment horizontal="right"/>
    </xf>
    <xf numFmtId="0" fontId="38" fillId="0" borderId="14" xfId="0" applyFont="1" applyBorder="1"/>
    <xf numFmtId="3" fontId="49" fillId="0" borderId="31" xfId="0" applyNumberFormat="1" applyFont="1" applyBorder="1" applyAlignment="1">
      <alignment horizontal="right"/>
    </xf>
    <xf numFmtId="0" fontId="64" fillId="0" borderId="0" xfId="0" applyFont="1"/>
    <xf numFmtId="0" fontId="63" fillId="0" borderId="0" xfId="0" applyFont="1"/>
    <xf numFmtId="169" fontId="49" fillId="0" borderId="0" xfId="1" applyNumberFormat="1" applyFont="1" applyAlignment="1">
      <alignment horizontal="right"/>
    </xf>
    <xf numFmtId="3" fontId="38" fillId="0" borderId="0" xfId="0" applyNumberFormat="1" applyFont="1"/>
    <xf numFmtId="3" fontId="49" fillId="0" borderId="0" xfId="0" applyNumberFormat="1" applyFont="1" applyAlignment="1">
      <alignment wrapText="1"/>
    </xf>
    <xf numFmtId="3" fontId="38" fillId="0" borderId="0" xfId="0" applyNumberFormat="1" applyFont="1" applyAlignment="1">
      <alignment wrapText="1"/>
    </xf>
    <xf numFmtId="3" fontId="0" fillId="0" borderId="0" xfId="0" applyNumberFormat="1"/>
    <xf numFmtId="3" fontId="47" fillId="23" borderId="0" xfId="0" applyNumberFormat="1" applyFont="1" applyFill="1" applyAlignment="1">
      <alignment horizontal="right"/>
    </xf>
    <xf numFmtId="3" fontId="49" fillId="23" borderId="0" xfId="0" applyNumberFormat="1" applyFont="1" applyFill="1" applyAlignment="1">
      <alignment horizontal="right"/>
    </xf>
    <xf numFmtId="0" fontId="49" fillId="23" borderId="14" xfId="0" applyFont="1" applyFill="1" applyBorder="1" applyAlignment="1">
      <alignment horizontal="right"/>
    </xf>
    <xf numFmtId="169" fontId="49" fillId="23" borderId="0" xfId="1" applyNumberFormat="1" applyFont="1" applyFill="1" applyAlignment="1">
      <alignment horizontal="right"/>
    </xf>
    <xf numFmtId="3" fontId="49" fillId="23" borderId="14" xfId="0" applyNumberFormat="1" applyFont="1" applyFill="1" applyBorder="1" applyAlignment="1">
      <alignment horizontal="right"/>
    </xf>
    <xf numFmtId="0" fontId="49" fillId="23" borderId="0" xfId="0" applyFont="1" applyFill="1" applyAlignment="1">
      <alignment horizontal="right"/>
    </xf>
    <xf numFmtId="169" fontId="3" fillId="0" borderId="0" xfId="1" applyNumberFormat="1" applyFont="1" applyFill="1" applyBorder="1" applyAlignment="1">
      <alignment horizontal="right"/>
    </xf>
    <xf numFmtId="3" fontId="69" fillId="0" borderId="0" xfId="0" applyNumberFormat="1" applyFont="1" applyAlignment="1">
      <alignment horizontal="right"/>
    </xf>
    <xf numFmtId="3" fontId="70" fillId="3" borderId="0" xfId="0" applyNumberFormat="1" applyFont="1" applyFill="1" applyAlignment="1">
      <alignment horizontal="right"/>
    </xf>
    <xf numFmtId="0" fontId="70" fillId="3" borderId="0" xfId="0" applyFont="1" applyFill="1" applyAlignment="1">
      <alignment horizontal="right"/>
    </xf>
    <xf numFmtId="3" fontId="71" fillId="0" borderId="0" xfId="0" applyNumberFormat="1" applyFont="1" applyAlignment="1">
      <alignment vertical="center" wrapText="1"/>
    </xf>
    <xf numFmtId="0" fontId="3" fillId="3" borderId="15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169" fontId="2" fillId="2" borderId="5" xfId="1075" applyNumberFormat="1" applyFont="1" applyFill="1" applyBorder="1" applyAlignment="1">
      <alignment horizontal="left"/>
    </xf>
    <xf numFmtId="0" fontId="72" fillId="0" borderId="0" xfId="0" applyFont="1"/>
    <xf numFmtId="0" fontId="2" fillId="2" borderId="2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3" fontId="3" fillId="0" borderId="0" xfId="0" applyNumberFormat="1" applyFont="1" applyAlignment="1">
      <alignment horizontal="right"/>
    </xf>
    <xf numFmtId="170" fontId="39" fillId="0" borderId="0" xfId="2" applyNumberFormat="1" applyFont="1" applyFill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210" fontId="0" fillId="0" borderId="0" xfId="0" applyNumberFormat="1"/>
    <xf numFmtId="3" fontId="4" fillId="0" borderId="5" xfId="0" applyNumberFormat="1" applyFont="1" applyBorder="1" applyAlignment="1">
      <alignment horizontal="right"/>
    </xf>
    <xf numFmtId="211" fontId="3" fillId="3" borderId="0" xfId="0" applyNumberFormat="1" applyFont="1" applyFill="1"/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73" fillId="0" borderId="0" xfId="0" applyFont="1"/>
    <xf numFmtId="0" fontId="74" fillId="0" borderId="0" xfId="0" applyFont="1" applyAlignment="1">
      <alignment horizontal="right"/>
    </xf>
    <xf numFmtId="3" fontId="75" fillId="0" borderId="0" xfId="0" applyNumberFormat="1" applyFont="1"/>
    <xf numFmtId="3" fontId="73" fillId="0" borderId="0" xfId="0" applyNumberFormat="1" applyFont="1"/>
    <xf numFmtId="169" fontId="75" fillId="0" borderId="0" xfId="0" applyNumberFormat="1" applyFont="1" applyAlignment="1">
      <alignment horizontal="right"/>
    </xf>
    <xf numFmtId="169" fontId="75" fillId="0" borderId="0" xfId="0" applyNumberFormat="1" applyFont="1"/>
    <xf numFmtId="169" fontId="74" fillId="0" borderId="0" xfId="0" applyNumberFormat="1" applyFont="1"/>
    <xf numFmtId="170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172" fontId="76" fillId="0" borderId="15" xfId="0" applyNumberFormat="1" applyFont="1" applyBorder="1" applyAlignment="1">
      <alignment horizontal="right"/>
    </xf>
    <xf numFmtId="172" fontId="76" fillId="3" borderId="15" xfId="1075" applyNumberFormat="1" applyFont="1" applyFill="1" applyBorder="1" applyAlignment="1">
      <alignment horizontal="right"/>
    </xf>
    <xf numFmtId="3" fontId="76" fillId="0" borderId="5" xfId="0" applyNumberFormat="1" applyFont="1" applyBorder="1" applyAlignment="1">
      <alignment horizontal="right"/>
    </xf>
    <xf numFmtId="172" fontId="76" fillId="0" borderId="5" xfId="0" applyNumberFormat="1" applyFont="1" applyBorder="1" applyAlignment="1">
      <alignment horizontal="right"/>
    </xf>
    <xf numFmtId="172" fontId="3" fillId="0" borderId="5" xfId="0" applyNumberFormat="1" applyFont="1" applyBorder="1" applyAlignment="1">
      <alignment horizontal="right"/>
    </xf>
    <xf numFmtId="172" fontId="3" fillId="3" borderId="5" xfId="1075" applyNumberFormat="1" applyFont="1" applyFill="1" applyBorder="1" applyAlignment="1">
      <alignment horizontal="right"/>
    </xf>
    <xf numFmtId="172" fontId="3" fillId="3" borderId="5" xfId="0" applyNumberFormat="1" applyFont="1" applyFill="1" applyBorder="1" applyAlignment="1">
      <alignment horizontal="right"/>
    </xf>
    <xf numFmtId="169" fontId="3" fillId="3" borderId="5" xfId="1075" applyNumberFormat="1" applyFont="1" applyFill="1" applyBorder="1" applyAlignment="1">
      <alignment horizontal="right"/>
    </xf>
    <xf numFmtId="172" fontId="4" fillId="4" borderId="5" xfId="0" applyNumberFormat="1" applyFont="1" applyFill="1" applyBorder="1" applyAlignment="1">
      <alignment horizontal="right"/>
    </xf>
    <xf numFmtId="172" fontId="4" fillId="4" borderId="5" xfId="1075" applyNumberFormat="1" applyFont="1" applyFill="1" applyBorder="1" applyAlignment="1">
      <alignment horizontal="right"/>
    </xf>
    <xf numFmtId="172" fontId="5" fillId="3" borderId="5" xfId="1075" applyNumberFormat="1" applyFont="1" applyFill="1" applyBorder="1" applyAlignment="1">
      <alignment horizontal="right"/>
    </xf>
    <xf numFmtId="169" fontId="5" fillId="3" borderId="5" xfId="1075" applyNumberFormat="1" applyFont="1" applyFill="1" applyBorder="1" applyAlignment="1">
      <alignment horizontal="right"/>
    </xf>
    <xf numFmtId="9" fontId="6" fillId="3" borderId="5" xfId="2" applyFont="1" applyFill="1" applyBorder="1" applyAlignment="1">
      <alignment horizontal="right"/>
    </xf>
    <xf numFmtId="172" fontId="3" fillId="6" borderId="5" xfId="1075" applyNumberFormat="1" applyFont="1" applyFill="1" applyBorder="1" applyAlignment="1">
      <alignment horizontal="right"/>
    </xf>
    <xf numFmtId="209" fontId="3" fillId="3" borderId="5" xfId="1075" applyNumberFormat="1" applyFont="1" applyFill="1" applyBorder="1" applyAlignment="1">
      <alignment horizontal="right"/>
    </xf>
    <xf numFmtId="172" fontId="0" fillId="0" borderId="0" xfId="0" applyNumberFormat="1" applyAlignment="1">
      <alignment horizontal="right"/>
    </xf>
    <xf numFmtId="172" fontId="3" fillId="0" borderId="3" xfId="1075" applyNumberFormat="1" applyFont="1" applyFill="1" applyBorder="1" applyAlignment="1">
      <alignment horizontal="right"/>
    </xf>
    <xf numFmtId="172" fontId="8" fillId="0" borderId="3" xfId="1075" applyNumberFormat="1" applyFont="1" applyFill="1" applyBorder="1" applyAlignment="1">
      <alignment horizontal="right"/>
    </xf>
    <xf numFmtId="172" fontId="77" fillId="0" borderId="3" xfId="1075" applyNumberFormat="1" applyFont="1" applyFill="1" applyBorder="1" applyAlignment="1">
      <alignment horizontal="right"/>
    </xf>
    <xf numFmtId="172" fontId="3" fillId="0" borderId="5" xfId="1075" applyNumberFormat="1" applyFont="1" applyFill="1" applyBorder="1" applyAlignment="1">
      <alignment horizontal="right"/>
    </xf>
    <xf numFmtId="172" fontId="3" fillId="0" borderId="0" xfId="1075" applyNumberFormat="1" applyFont="1" applyFill="1" applyBorder="1" applyAlignment="1">
      <alignment horizontal="right"/>
    </xf>
    <xf numFmtId="172" fontId="3" fillId="0" borderId="37" xfId="1075" applyNumberFormat="1" applyFont="1" applyFill="1" applyBorder="1" applyAlignment="1">
      <alignment horizontal="right"/>
    </xf>
    <xf numFmtId="172" fontId="7" fillId="2" borderId="26" xfId="1075" applyNumberFormat="1" applyFont="1" applyFill="1" applyBorder="1" applyAlignment="1">
      <alignment horizontal="right"/>
    </xf>
    <xf numFmtId="3" fontId="76" fillId="0" borderId="3" xfId="0" applyNumberFormat="1" applyFont="1" applyBorder="1" applyAlignment="1">
      <alignment horizontal="right"/>
    </xf>
    <xf numFmtId="172" fontId="7" fillId="2" borderId="9" xfId="1075" applyNumberFormat="1" applyFont="1" applyFill="1" applyBorder="1" applyAlignment="1">
      <alignment horizontal="right"/>
    </xf>
    <xf numFmtId="167" fontId="0" fillId="0" borderId="0" xfId="1" applyFont="1" applyFill="1"/>
    <xf numFmtId="170" fontId="40" fillId="0" borderId="0" xfId="2" applyNumberFormat="1" applyFont="1" applyFill="1" applyBorder="1" applyAlignment="1">
      <alignment horizontal="right"/>
    </xf>
    <xf numFmtId="0" fontId="76" fillId="3" borderId="4" xfId="0" applyFont="1" applyFill="1" applyBorder="1" applyAlignment="1">
      <alignment horizontal="left"/>
    </xf>
    <xf numFmtId="0" fontId="76" fillId="3" borderId="5" xfId="0" applyFont="1" applyFill="1" applyBorder="1" applyAlignment="1">
      <alignment horizontal="left"/>
    </xf>
    <xf numFmtId="211" fontId="76" fillId="0" borderId="5" xfId="1" applyNumberFormat="1" applyFont="1" applyFill="1" applyBorder="1" applyAlignment="1">
      <alignment horizontal="right"/>
    </xf>
    <xf numFmtId="170" fontId="78" fillId="3" borderId="5" xfId="2" applyNumberFormat="1" applyFont="1" applyFill="1" applyBorder="1" applyAlignment="1">
      <alignment horizontal="right"/>
    </xf>
    <xf numFmtId="211" fontId="76" fillId="3" borderId="13" xfId="1" applyNumberFormat="1" applyFont="1" applyFill="1" applyBorder="1" applyAlignment="1">
      <alignment horizontal="right"/>
    </xf>
    <xf numFmtId="211" fontId="76" fillId="3" borderId="5" xfId="1" applyNumberFormat="1" applyFont="1" applyFill="1" applyBorder="1" applyAlignment="1">
      <alignment horizontal="right"/>
    </xf>
    <xf numFmtId="0" fontId="76" fillId="3" borderId="0" xfId="0" applyFont="1" applyFill="1"/>
    <xf numFmtId="211" fontId="76" fillId="3" borderId="0" xfId="0" applyNumberFormat="1" applyFont="1" applyFill="1"/>
    <xf numFmtId="3" fontId="8" fillId="0" borderId="5" xfId="0" applyNumberFormat="1" applyFont="1" applyBorder="1" applyAlignment="1">
      <alignment horizontal="right"/>
    </xf>
    <xf numFmtId="211" fontId="0" fillId="0" borderId="0" xfId="0" applyNumberFormat="1"/>
    <xf numFmtId="0" fontId="79" fillId="0" borderId="0" xfId="0" applyFont="1"/>
    <xf numFmtId="0" fontId="69" fillId="3" borderId="0" xfId="0" applyFont="1" applyFill="1"/>
    <xf numFmtId="0" fontId="2" fillId="3" borderId="0" xfId="0" applyFont="1" applyFill="1"/>
    <xf numFmtId="0" fontId="69" fillId="0" borderId="0" xfId="0" applyFont="1"/>
    <xf numFmtId="3" fontId="4" fillId="0" borderId="5" xfId="1" applyNumberFormat="1" applyFont="1" applyFill="1" applyBorder="1" applyAlignment="1">
      <alignment horizontal="right"/>
    </xf>
    <xf numFmtId="4" fontId="0" fillId="0" borderId="0" xfId="0" applyNumberFormat="1"/>
    <xf numFmtId="14" fontId="7" fillId="2" borderId="16" xfId="0" applyNumberFormat="1" applyFont="1" applyFill="1" applyBorder="1" applyAlignment="1">
      <alignment horizontal="center"/>
    </xf>
    <xf numFmtId="0" fontId="61" fillId="0" borderId="14" xfId="0" applyFont="1" applyBorder="1" applyAlignment="1">
      <alignment horizontal="right"/>
    </xf>
    <xf numFmtId="0" fontId="61" fillId="0" borderId="0" xfId="0" applyFont="1" applyAlignment="1">
      <alignment horizontal="right" wrapText="1"/>
    </xf>
    <xf numFmtId="0" fontId="61" fillId="0" borderId="14" xfId="0" applyFont="1" applyBorder="1" applyAlignment="1">
      <alignment horizontal="right" wrapText="1"/>
    </xf>
    <xf numFmtId="0" fontId="38" fillId="0" borderId="0" xfId="0" applyFont="1"/>
    <xf numFmtId="0" fontId="38" fillId="0" borderId="0" xfId="0" applyFont="1" applyAlignment="1">
      <alignment wrapText="1"/>
    </xf>
    <xf numFmtId="0" fontId="61" fillId="0" borderId="0" xfId="0" applyFont="1"/>
    <xf numFmtId="0" fontId="61" fillId="0" borderId="0" xfId="0" applyFont="1" applyAlignment="1">
      <alignment wrapText="1"/>
    </xf>
    <xf numFmtId="0" fontId="49" fillId="0" borderId="0" xfId="0" applyFont="1" applyAlignment="1">
      <alignment horizontal="right" wrapText="1"/>
    </xf>
    <xf numFmtId="0" fontId="49" fillId="0" borderId="0" xfId="0" applyFont="1" applyAlignment="1">
      <alignment wrapText="1"/>
    </xf>
    <xf numFmtId="0" fontId="58" fillId="0" borderId="14" xfId="0" applyFont="1" applyBorder="1" applyAlignment="1">
      <alignment horizontal="right" wrapText="1"/>
    </xf>
    <xf numFmtId="0" fontId="58" fillId="0" borderId="14" xfId="0" applyFont="1" applyBorder="1" applyAlignment="1">
      <alignment horizontal="right"/>
    </xf>
  </cellXfs>
  <cellStyles count="1096">
    <cellStyle name="=C:\WINNT\SYSTEM32\COMMAND.COM" xfId="8" xr:uid="{00000000-0005-0000-0000-000000000000}"/>
    <cellStyle name="=C:\WINNT\SYSTEM32\COMMAND.COM 2" xfId="9" xr:uid="{00000000-0005-0000-0000-000001000000}"/>
    <cellStyle name="0  + -" xfId="10" xr:uid="{00000000-0005-0000-0000-000002000000}"/>
    <cellStyle name="0+ -" xfId="11" xr:uid="{00000000-0005-0000-0000-000003000000}"/>
    <cellStyle name="0+   -" xfId="12" xr:uid="{00000000-0005-0000-0000-000004000000}"/>
    <cellStyle name="1o.nível" xfId="13" xr:uid="{00000000-0005-0000-0000-000005000000}"/>
    <cellStyle name="20% - Ênfase1 2" xfId="14" xr:uid="{00000000-0005-0000-0000-000006000000}"/>
    <cellStyle name="20% - Ênfase1 2 2" xfId="15" xr:uid="{00000000-0005-0000-0000-000007000000}"/>
    <cellStyle name="20% - Ênfase1 3" xfId="16" xr:uid="{00000000-0005-0000-0000-000008000000}"/>
    <cellStyle name="20% - Ênfase1 3 2" xfId="17" xr:uid="{00000000-0005-0000-0000-000009000000}"/>
    <cellStyle name="20% - Ênfase1 4" xfId="18" xr:uid="{00000000-0005-0000-0000-00000A000000}"/>
    <cellStyle name="20% - Ênfase1 4 2" xfId="19" xr:uid="{00000000-0005-0000-0000-00000B000000}"/>
    <cellStyle name="20% - Ênfase2 2" xfId="20" xr:uid="{00000000-0005-0000-0000-00000C000000}"/>
    <cellStyle name="20% - Ênfase2 2 2" xfId="21" xr:uid="{00000000-0005-0000-0000-00000D000000}"/>
    <cellStyle name="20% - Ênfase2 3" xfId="22" xr:uid="{00000000-0005-0000-0000-00000E000000}"/>
    <cellStyle name="20% - Ênfase2 3 2" xfId="23" xr:uid="{00000000-0005-0000-0000-00000F000000}"/>
    <cellStyle name="20% - Ênfase2 4" xfId="24" xr:uid="{00000000-0005-0000-0000-000010000000}"/>
    <cellStyle name="20% - Ênfase2 4 2" xfId="25" xr:uid="{00000000-0005-0000-0000-000011000000}"/>
    <cellStyle name="20% - Ênfase3 2" xfId="26" xr:uid="{00000000-0005-0000-0000-000012000000}"/>
    <cellStyle name="20% - Ênfase3 2 2" xfId="27" xr:uid="{00000000-0005-0000-0000-000013000000}"/>
    <cellStyle name="20% - Ênfase3 3" xfId="28" xr:uid="{00000000-0005-0000-0000-000014000000}"/>
    <cellStyle name="20% - Ênfase3 3 2" xfId="29" xr:uid="{00000000-0005-0000-0000-000015000000}"/>
    <cellStyle name="20% - Ênfase3 4" xfId="30" xr:uid="{00000000-0005-0000-0000-000016000000}"/>
    <cellStyle name="20% - Ênfase3 4 2" xfId="31" xr:uid="{00000000-0005-0000-0000-000017000000}"/>
    <cellStyle name="20% - Ênfase4 2" xfId="32" xr:uid="{00000000-0005-0000-0000-000018000000}"/>
    <cellStyle name="20% - Ênfase4 2 2" xfId="33" xr:uid="{00000000-0005-0000-0000-000019000000}"/>
    <cellStyle name="20% - Ênfase4 3" xfId="34" xr:uid="{00000000-0005-0000-0000-00001A000000}"/>
    <cellStyle name="20% - Ênfase4 3 2" xfId="35" xr:uid="{00000000-0005-0000-0000-00001B000000}"/>
    <cellStyle name="20% - Ênfase4 4" xfId="36" xr:uid="{00000000-0005-0000-0000-00001C000000}"/>
    <cellStyle name="20% - Ênfase4 4 2" xfId="37" xr:uid="{00000000-0005-0000-0000-00001D000000}"/>
    <cellStyle name="20% - Ênfase5 2" xfId="38" xr:uid="{00000000-0005-0000-0000-00001E000000}"/>
    <cellStyle name="20% - Ênfase5 2 2" xfId="39" xr:uid="{00000000-0005-0000-0000-00001F000000}"/>
    <cellStyle name="20% - Ênfase5 3" xfId="40" xr:uid="{00000000-0005-0000-0000-000020000000}"/>
    <cellStyle name="20% - Ênfase5 3 2" xfId="41" xr:uid="{00000000-0005-0000-0000-000021000000}"/>
    <cellStyle name="20% - Ênfase5 4" xfId="42" xr:uid="{00000000-0005-0000-0000-000022000000}"/>
    <cellStyle name="20% - Ênfase5 4 2" xfId="43" xr:uid="{00000000-0005-0000-0000-000023000000}"/>
    <cellStyle name="20% - Ênfase6 2" xfId="44" xr:uid="{00000000-0005-0000-0000-000024000000}"/>
    <cellStyle name="20% - Ênfase6 2 2" xfId="45" xr:uid="{00000000-0005-0000-0000-000025000000}"/>
    <cellStyle name="20% - Ênfase6 3" xfId="46" xr:uid="{00000000-0005-0000-0000-000026000000}"/>
    <cellStyle name="20% - Ênfase6 3 2" xfId="47" xr:uid="{00000000-0005-0000-0000-000027000000}"/>
    <cellStyle name="20% - Ênfase6 4" xfId="48" xr:uid="{00000000-0005-0000-0000-000028000000}"/>
    <cellStyle name="20% - Ênfase6 4 2" xfId="49" xr:uid="{00000000-0005-0000-0000-000029000000}"/>
    <cellStyle name="2o.nível" xfId="50" xr:uid="{00000000-0005-0000-0000-00002A000000}"/>
    <cellStyle name="40% - Ênfase1 2" xfId="51" xr:uid="{00000000-0005-0000-0000-00002B000000}"/>
    <cellStyle name="40% - Ênfase1 2 2" xfId="52" xr:uid="{00000000-0005-0000-0000-00002C000000}"/>
    <cellStyle name="40% - Ênfase1 3" xfId="53" xr:uid="{00000000-0005-0000-0000-00002D000000}"/>
    <cellStyle name="40% - Ênfase1 3 2" xfId="54" xr:uid="{00000000-0005-0000-0000-00002E000000}"/>
    <cellStyle name="40% - Ênfase1 4" xfId="55" xr:uid="{00000000-0005-0000-0000-00002F000000}"/>
    <cellStyle name="40% - Ênfase1 4 2" xfId="56" xr:uid="{00000000-0005-0000-0000-000030000000}"/>
    <cellStyle name="40% - Ênfase2 2" xfId="57" xr:uid="{00000000-0005-0000-0000-000031000000}"/>
    <cellStyle name="40% - Ênfase2 2 2" xfId="58" xr:uid="{00000000-0005-0000-0000-000032000000}"/>
    <cellStyle name="40% - Ênfase2 3" xfId="59" xr:uid="{00000000-0005-0000-0000-000033000000}"/>
    <cellStyle name="40% - Ênfase2 3 2" xfId="60" xr:uid="{00000000-0005-0000-0000-000034000000}"/>
    <cellStyle name="40% - Ênfase2 4" xfId="61" xr:uid="{00000000-0005-0000-0000-000035000000}"/>
    <cellStyle name="40% - Ênfase2 4 2" xfId="62" xr:uid="{00000000-0005-0000-0000-000036000000}"/>
    <cellStyle name="40% - Ênfase3 2" xfId="63" xr:uid="{00000000-0005-0000-0000-000037000000}"/>
    <cellStyle name="40% - Ênfase3 2 2" xfId="64" xr:uid="{00000000-0005-0000-0000-000038000000}"/>
    <cellStyle name="40% - Ênfase3 3" xfId="65" xr:uid="{00000000-0005-0000-0000-000039000000}"/>
    <cellStyle name="40% - Ênfase3 3 2" xfId="66" xr:uid="{00000000-0005-0000-0000-00003A000000}"/>
    <cellStyle name="40% - Ênfase3 4" xfId="67" xr:uid="{00000000-0005-0000-0000-00003B000000}"/>
    <cellStyle name="40% - Ênfase3 4 2" xfId="68" xr:uid="{00000000-0005-0000-0000-00003C000000}"/>
    <cellStyle name="40% - Ênfase4 2" xfId="69" xr:uid="{00000000-0005-0000-0000-00003D000000}"/>
    <cellStyle name="40% - Ênfase4 2 2" xfId="70" xr:uid="{00000000-0005-0000-0000-00003E000000}"/>
    <cellStyle name="40% - Ênfase4 3" xfId="71" xr:uid="{00000000-0005-0000-0000-00003F000000}"/>
    <cellStyle name="40% - Ênfase4 3 2" xfId="72" xr:uid="{00000000-0005-0000-0000-000040000000}"/>
    <cellStyle name="40% - Ênfase4 4" xfId="73" xr:uid="{00000000-0005-0000-0000-000041000000}"/>
    <cellStyle name="40% - Ênfase4 4 2" xfId="74" xr:uid="{00000000-0005-0000-0000-000042000000}"/>
    <cellStyle name="40% - Ênfase5 2" xfId="75" xr:uid="{00000000-0005-0000-0000-000043000000}"/>
    <cellStyle name="40% - Ênfase5 2 2" xfId="76" xr:uid="{00000000-0005-0000-0000-000044000000}"/>
    <cellStyle name="40% - Ênfase5 3" xfId="77" xr:uid="{00000000-0005-0000-0000-000045000000}"/>
    <cellStyle name="40% - Ênfase5 3 2" xfId="78" xr:uid="{00000000-0005-0000-0000-000046000000}"/>
    <cellStyle name="40% - Ênfase5 4" xfId="79" xr:uid="{00000000-0005-0000-0000-000047000000}"/>
    <cellStyle name="40% - Ênfase5 4 2" xfId="80" xr:uid="{00000000-0005-0000-0000-000048000000}"/>
    <cellStyle name="40% - Ênfase6 2" xfId="81" xr:uid="{00000000-0005-0000-0000-000049000000}"/>
    <cellStyle name="40% - Ênfase6 2 2" xfId="82" xr:uid="{00000000-0005-0000-0000-00004A000000}"/>
    <cellStyle name="40% - Ênfase6 3" xfId="83" xr:uid="{00000000-0005-0000-0000-00004B000000}"/>
    <cellStyle name="40% - Ênfase6 3 2" xfId="84" xr:uid="{00000000-0005-0000-0000-00004C000000}"/>
    <cellStyle name="40% - Ênfase6 4" xfId="85" xr:uid="{00000000-0005-0000-0000-00004D000000}"/>
    <cellStyle name="40% - Ênfase6 4 2" xfId="86" xr:uid="{00000000-0005-0000-0000-00004E000000}"/>
    <cellStyle name="60% - Ênfase1 2" xfId="87" xr:uid="{00000000-0005-0000-0000-00004F000000}"/>
    <cellStyle name="60% - Ênfase1 2 2" xfId="88" xr:uid="{00000000-0005-0000-0000-000050000000}"/>
    <cellStyle name="60% - Ênfase1 3" xfId="89" xr:uid="{00000000-0005-0000-0000-000051000000}"/>
    <cellStyle name="60% - Ênfase1 3 2" xfId="90" xr:uid="{00000000-0005-0000-0000-000052000000}"/>
    <cellStyle name="60% - Ênfase1 4" xfId="91" xr:uid="{00000000-0005-0000-0000-000053000000}"/>
    <cellStyle name="60% - Ênfase1 4 2" xfId="92" xr:uid="{00000000-0005-0000-0000-000054000000}"/>
    <cellStyle name="60% - Ênfase2 2" xfId="93" xr:uid="{00000000-0005-0000-0000-000055000000}"/>
    <cellStyle name="60% - Ênfase2 2 2" xfId="94" xr:uid="{00000000-0005-0000-0000-000056000000}"/>
    <cellStyle name="60% - Ênfase2 3" xfId="95" xr:uid="{00000000-0005-0000-0000-000057000000}"/>
    <cellStyle name="60% - Ênfase2 3 2" xfId="96" xr:uid="{00000000-0005-0000-0000-000058000000}"/>
    <cellStyle name="60% - Ênfase2 4" xfId="97" xr:uid="{00000000-0005-0000-0000-000059000000}"/>
    <cellStyle name="60% - Ênfase2 4 2" xfId="98" xr:uid="{00000000-0005-0000-0000-00005A000000}"/>
    <cellStyle name="60% - Ênfase3 2" xfId="99" xr:uid="{00000000-0005-0000-0000-00005B000000}"/>
    <cellStyle name="60% - Ênfase3 2 2" xfId="100" xr:uid="{00000000-0005-0000-0000-00005C000000}"/>
    <cellStyle name="60% - Ênfase3 3" xfId="101" xr:uid="{00000000-0005-0000-0000-00005D000000}"/>
    <cellStyle name="60% - Ênfase3 3 2" xfId="102" xr:uid="{00000000-0005-0000-0000-00005E000000}"/>
    <cellStyle name="60% - Ênfase3 4" xfId="103" xr:uid="{00000000-0005-0000-0000-00005F000000}"/>
    <cellStyle name="60% - Ênfase3 4 2" xfId="104" xr:uid="{00000000-0005-0000-0000-000060000000}"/>
    <cellStyle name="60% - Ênfase4 2" xfId="105" xr:uid="{00000000-0005-0000-0000-000061000000}"/>
    <cellStyle name="60% - Ênfase4 2 2" xfId="106" xr:uid="{00000000-0005-0000-0000-000062000000}"/>
    <cellStyle name="60% - Ênfase4 3" xfId="107" xr:uid="{00000000-0005-0000-0000-000063000000}"/>
    <cellStyle name="60% - Ênfase4 3 2" xfId="108" xr:uid="{00000000-0005-0000-0000-000064000000}"/>
    <cellStyle name="60% - Ênfase4 4" xfId="109" xr:uid="{00000000-0005-0000-0000-000065000000}"/>
    <cellStyle name="60% - Ênfase4 4 2" xfId="110" xr:uid="{00000000-0005-0000-0000-000066000000}"/>
    <cellStyle name="60% - Ênfase5 2" xfId="111" xr:uid="{00000000-0005-0000-0000-000067000000}"/>
    <cellStyle name="60% - Ênfase5 2 2" xfId="112" xr:uid="{00000000-0005-0000-0000-000068000000}"/>
    <cellStyle name="60% - Ênfase5 3" xfId="113" xr:uid="{00000000-0005-0000-0000-000069000000}"/>
    <cellStyle name="60% - Ênfase5 3 2" xfId="114" xr:uid="{00000000-0005-0000-0000-00006A000000}"/>
    <cellStyle name="60% - Ênfase5 4" xfId="115" xr:uid="{00000000-0005-0000-0000-00006B000000}"/>
    <cellStyle name="60% - Ênfase5 4 2" xfId="116" xr:uid="{00000000-0005-0000-0000-00006C000000}"/>
    <cellStyle name="60% - Ênfase6 2" xfId="117" xr:uid="{00000000-0005-0000-0000-00006D000000}"/>
    <cellStyle name="60% - Ênfase6 2 2" xfId="118" xr:uid="{00000000-0005-0000-0000-00006E000000}"/>
    <cellStyle name="60% - Ênfase6 3" xfId="119" xr:uid="{00000000-0005-0000-0000-00006F000000}"/>
    <cellStyle name="60% - Ênfase6 3 2" xfId="120" xr:uid="{00000000-0005-0000-0000-000070000000}"/>
    <cellStyle name="60% - Ênfase6 4" xfId="121" xr:uid="{00000000-0005-0000-0000-000071000000}"/>
    <cellStyle name="60% - Ênfase6 4 2" xfId="122" xr:uid="{00000000-0005-0000-0000-000072000000}"/>
    <cellStyle name="a_Divisão" xfId="123" xr:uid="{00000000-0005-0000-0000-000073000000}"/>
    <cellStyle name="a_normal" xfId="124" xr:uid="{00000000-0005-0000-0000-000074000000}"/>
    <cellStyle name="a_quebra_1" xfId="125" xr:uid="{00000000-0005-0000-0000-000075000000}"/>
    <cellStyle name="a_quebra_2" xfId="126" xr:uid="{00000000-0005-0000-0000-000076000000}"/>
    <cellStyle name="AbertBalan" xfId="127" xr:uid="{00000000-0005-0000-0000-000077000000}"/>
    <cellStyle name="Accent1" xfId="128" xr:uid="{00000000-0005-0000-0000-000078000000}"/>
    <cellStyle name="Accent1 - 20%" xfId="129" xr:uid="{00000000-0005-0000-0000-000079000000}"/>
    <cellStyle name="Accent1 - 20% 2" xfId="130" xr:uid="{00000000-0005-0000-0000-00007A000000}"/>
    <cellStyle name="Accent1 - 40%" xfId="131" xr:uid="{00000000-0005-0000-0000-00007B000000}"/>
    <cellStyle name="Accent1 - 40% 2" xfId="132" xr:uid="{00000000-0005-0000-0000-00007C000000}"/>
    <cellStyle name="Accent1 - 60%" xfId="133" xr:uid="{00000000-0005-0000-0000-00007D000000}"/>
    <cellStyle name="Accent1 - 60% 2" xfId="134" xr:uid="{00000000-0005-0000-0000-00007E000000}"/>
    <cellStyle name="Accent1 2" xfId="135" xr:uid="{00000000-0005-0000-0000-00007F000000}"/>
    <cellStyle name="Accent2" xfId="136" xr:uid="{00000000-0005-0000-0000-000080000000}"/>
    <cellStyle name="Accent2 - 20%" xfId="137" xr:uid="{00000000-0005-0000-0000-000081000000}"/>
    <cellStyle name="Accent2 - 20% 2" xfId="138" xr:uid="{00000000-0005-0000-0000-000082000000}"/>
    <cellStyle name="Accent2 - 40%" xfId="139" xr:uid="{00000000-0005-0000-0000-000083000000}"/>
    <cellStyle name="Accent2 - 40% 2" xfId="140" xr:uid="{00000000-0005-0000-0000-000084000000}"/>
    <cellStyle name="Accent2 - 60%" xfId="141" xr:uid="{00000000-0005-0000-0000-000085000000}"/>
    <cellStyle name="Accent2 - 60% 2" xfId="142" xr:uid="{00000000-0005-0000-0000-000086000000}"/>
    <cellStyle name="Accent2 2" xfId="143" xr:uid="{00000000-0005-0000-0000-000087000000}"/>
    <cellStyle name="Accent3" xfId="144" xr:uid="{00000000-0005-0000-0000-000088000000}"/>
    <cellStyle name="Accent3 - 20%" xfId="145" xr:uid="{00000000-0005-0000-0000-000089000000}"/>
    <cellStyle name="Accent3 - 20% 2" xfId="146" xr:uid="{00000000-0005-0000-0000-00008A000000}"/>
    <cellStyle name="Accent3 - 40%" xfId="147" xr:uid="{00000000-0005-0000-0000-00008B000000}"/>
    <cellStyle name="Accent3 - 40% 2" xfId="148" xr:uid="{00000000-0005-0000-0000-00008C000000}"/>
    <cellStyle name="Accent3 - 60%" xfId="149" xr:uid="{00000000-0005-0000-0000-00008D000000}"/>
    <cellStyle name="Accent3 - 60% 2" xfId="150" xr:uid="{00000000-0005-0000-0000-00008E000000}"/>
    <cellStyle name="Accent3 2" xfId="151" xr:uid="{00000000-0005-0000-0000-00008F000000}"/>
    <cellStyle name="Accent4" xfId="152" xr:uid="{00000000-0005-0000-0000-000090000000}"/>
    <cellStyle name="Accent4 - 20%" xfId="153" xr:uid="{00000000-0005-0000-0000-000091000000}"/>
    <cellStyle name="Accent4 - 20% 2" xfId="154" xr:uid="{00000000-0005-0000-0000-000092000000}"/>
    <cellStyle name="Accent4 - 40%" xfId="155" xr:uid="{00000000-0005-0000-0000-000093000000}"/>
    <cellStyle name="Accent4 - 40% 2" xfId="156" xr:uid="{00000000-0005-0000-0000-000094000000}"/>
    <cellStyle name="Accent4 - 60%" xfId="157" xr:uid="{00000000-0005-0000-0000-000095000000}"/>
    <cellStyle name="Accent4 - 60% 2" xfId="158" xr:uid="{00000000-0005-0000-0000-000096000000}"/>
    <cellStyle name="Accent4 2" xfId="159" xr:uid="{00000000-0005-0000-0000-000097000000}"/>
    <cellStyle name="Accent5" xfId="160" xr:uid="{00000000-0005-0000-0000-000098000000}"/>
    <cellStyle name="Accent5 - 20%" xfId="161" xr:uid="{00000000-0005-0000-0000-000099000000}"/>
    <cellStyle name="Accent5 - 20% 2" xfId="162" xr:uid="{00000000-0005-0000-0000-00009A000000}"/>
    <cellStyle name="Accent5 - 40%" xfId="163" xr:uid="{00000000-0005-0000-0000-00009B000000}"/>
    <cellStyle name="Accent5 - 40% 2" xfId="164" xr:uid="{00000000-0005-0000-0000-00009C000000}"/>
    <cellStyle name="Accent5 - 60%" xfId="165" xr:uid="{00000000-0005-0000-0000-00009D000000}"/>
    <cellStyle name="Accent5 - 60% 2" xfId="166" xr:uid="{00000000-0005-0000-0000-00009E000000}"/>
    <cellStyle name="Accent5 2" xfId="167" xr:uid="{00000000-0005-0000-0000-00009F000000}"/>
    <cellStyle name="Accent6" xfId="168" xr:uid="{00000000-0005-0000-0000-0000A0000000}"/>
    <cellStyle name="Accent6 - 20%" xfId="169" xr:uid="{00000000-0005-0000-0000-0000A1000000}"/>
    <cellStyle name="Accent6 - 20% 2" xfId="170" xr:uid="{00000000-0005-0000-0000-0000A2000000}"/>
    <cellStyle name="Accent6 - 40%" xfId="171" xr:uid="{00000000-0005-0000-0000-0000A3000000}"/>
    <cellStyle name="Accent6 - 40% 2" xfId="172" xr:uid="{00000000-0005-0000-0000-0000A4000000}"/>
    <cellStyle name="Accent6 - 60%" xfId="173" xr:uid="{00000000-0005-0000-0000-0000A5000000}"/>
    <cellStyle name="Accent6 - 60% 2" xfId="174" xr:uid="{00000000-0005-0000-0000-0000A6000000}"/>
    <cellStyle name="Accent6 2" xfId="175" xr:uid="{00000000-0005-0000-0000-0000A7000000}"/>
    <cellStyle name="anobase" xfId="176" xr:uid="{00000000-0005-0000-0000-0000A8000000}"/>
    <cellStyle name="anos" xfId="177" xr:uid="{00000000-0005-0000-0000-0000A9000000}"/>
    <cellStyle name="b_x0005_$da" xfId="178" xr:uid="{00000000-0005-0000-0000-0000AA000000}"/>
    <cellStyle name="b_x0005_$da 2" xfId="179" xr:uid="{00000000-0005-0000-0000-0000AB000000}"/>
    <cellStyle name="Bad" xfId="180" xr:uid="{00000000-0005-0000-0000-0000AC000000}"/>
    <cellStyle name="Bad 2" xfId="181" xr:uid="{00000000-0005-0000-0000-0000AD000000}"/>
    <cellStyle name="Bom 2" xfId="182" xr:uid="{00000000-0005-0000-0000-0000AE000000}"/>
    <cellStyle name="Bom 2 2" xfId="183" xr:uid="{00000000-0005-0000-0000-0000AF000000}"/>
    <cellStyle name="Bom 3" xfId="184" xr:uid="{00000000-0005-0000-0000-0000B0000000}"/>
    <cellStyle name="Bom 3 2" xfId="185" xr:uid="{00000000-0005-0000-0000-0000B1000000}"/>
    <cellStyle name="Bom 4" xfId="186" xr:uid="{00000000-0005-0000-0000-0000B2000000}"/>
    <cellStyle name="Bom 4 2" xfId="187" xr:uid="{00000000-0005-0000-0000-0000B3000000}"/>
    <cellStyle name="Calc Currency (0)" xfId="188" xr:uid="{00000000-0005-0000-0000-0000B4000000}"/>
    <cellStyle name="Calc Currency (0) 2" xfId="189" xr:uid="{00000000-0005-0000-0000-0000B5000000}"/>
    <cellStyle name="Calc Currency (2)" xfId="190" xr:uid="{00000000-0005-0000-0000-0000B6000000}"/>
    <cellStyle name="Calc Currency (2) 2" xfId="191" xr:uid="{00000000-0005-0000-0000-0000B7000000}"/>
    <cellStyle name="Calc Percent (0)" xfId="192" xr:uid="{00000000-0005-0000-0000-0000B8000000}"/>
    <cellStyle name="Calc Percent (0) 2" xfId="193" xr:uid="{00000000-0005-0000-0000-0000B9000000}"/>
    <cellStyle name="Calc Percent (1)" xfId="194" xr:uid="{00000000-0005-0000-0000-0000BA000000}"/>
    <cellStyle name="Calc Percent (1) 2" xfId="195" xr:uid="{00000000-0005-0000-0000-0000BB000000}"/>
    <cellStyle name="Calc Percent (2)" xfId="196" xr:uid="{00000000-0005-0000-0000-0000BC000000}"/>
    <cellStyle name="Calc Percent (2) 2" xfId="197" xr:uid="{00000000-0005-0000-0000-0000BD000000}"/>
    <cellStyle name="Calc Units (0)" xfId="198" xr:uid="{00000000-0005-0000-0000-0000BE000000}"/>
    <cellStyle name="Calc Units (0) 2" xfId="199" xr:uid="{00000000-0005-0000-0000-0000BF000000}"/>
    <cellStyle name="Calc Units (1)" xfId="200" xr:uid="{00000000-0005-0000-0000-0000C0000000}"/>
    <cellStyle name="Calc Units (1) 2" xfId="201" xr:uid="{00000000-0005-0000-0000-0000C1000000}"/>
    <cellStyle name="Calc Units (2)" xfId="202" xr:uid="{00000000-0005-0000-0000-0000C2000000}"/>
    <cellStyle name="Calc Units (2) 2" xfId="203" xr:uid="{00000000-0005-0000-0000-0000C3000000}"/>
    <cellStyle name="Calculation" xfId="204" xr:uid="{00000000-0005-0000-0000-0000C4000000}"/>
    <cellStyle name="Calculation 2" xfId="205" xr:uid="{00000000-0005-0000-0000-0000C5000000}"/>
    <cellStyle name="Cálculo 2" xfId="206" xr:uid="{00000000-0005-0000-0000-0000C6000000}"/>
    <cellStyle name="Cálculo 2 2" xfId="207" xr:uid="{00000000-0005-0000-0000-0000C7000000}"/>
    <cellStyle name="Cálculo 3" xfId="208" xr:uid="{00000000-0005-0000-0000-0000C8000000}"/>
    <cellStyle name="Cálculo 3 2" xfId="209" xr:uid="{00000000-0005-0000-0000-0000C9000000}"/>
    <cellStyle name="Cálculo 4" xfId="210" xr:uid="{00000000-0005-0000-0000-0000CA000000}"/>
    <cellStyle name="Cálculo 4 2" xfId="211" xr:uid="{00000000-0005-0000-0000-0000CB000000}"/>
    <cellStyle name="Célula de Verificação 2" xfId="212" xr:uid="{00000000-0005-0000-0000-0000CC000000}"/>
    <cellStyle name="Célula de Verificação 2 2" xfId="213" xr:uid="{00000000-0005-0000-0000-0000CD000000}"/>
    <cellStyle name="Célula de Verificação 3" xfId="214" xr:uid="{00000000-0005-0000-0000-0000CE000000}"/>
    <cellStyle name="Célula de Verificação 3 2" xfId="215" xr:uid="{00000000-0005-0000-0000-0000CF000000}"/>
    <cellStyle name="Célula de Verificação 4" xfId="216" xr:uid="{00000000-0005-0000-0000-0000D0000000}"/>
    <cellStyle name="Célula de Verificação 4 2" xfId="217" xr:uid="{00000000-0005-0000-0000-0000D1000000}"/>
    <cellStyle name="Célula Vinculada 2" xfId="218" xr:uid="{00000000-0005-0000-0000-0000D2000000}"/>
    <cellStyle name="Célula Vinculada 2 2" xfId="219" xr:uid="{00000000-0005-0000-0000-0000D3000000}"/>
    <cellStyle name="Célula Vinculada 3" xfId="220" xr:uid="{00000000-0005-0000-0000-0000D4000000}"/>
    <cellStyle name="Célula Vinculada 3 2" xfId="221" xr:uid="{00000000-0005-0000-0000-0000D5000000}"/>
    <cellStyle name="Célula Vinculada 4" xfId="222" xr:uid="{00000000-0005-0000-0000-0000D6000000}"/>
    <cellStyle name="Célula Vinculada 4 2" xfId="223" xr:uid="{00000000-0005-0000-0000-0000D7000000}"/>
    <cellStyle name="Check Cell" xfId="224" xr:uid="{00000000-0005-0000-0000-0000D8000000}"/>
    <cellStyle name="Check Cell 2" xfId="225" xr:uid="{00000000-0005-0000-0000-0000D9000000}"/>
    <cellStyle name="Comma [0]_12matrix" xfId="226" xr:uid="{00000000-0005-0000-0000-0000DA000000}"/>
    <cellStyle name="Comma [00]" xfId="227" xr:uid="{00000000-0005-0000-0000-0000DB000000}"/>
    <cellStyle name="Comma [00] 2" xfId="228" xr:uid="{00000000-0005-0000-0000-0000DC000000}"/>
    <cellStyle name="Comma_12matrix" xfId="229" xr:uid="{00000000-0005-0000-0000-0000DD000000}"/>
    <cellStyle name="Comma0 - Modelo1" xfId="230" xr:uid="{00000000-0005-0000-0000-0000DE000000}"/>
    <cellStyle name="Comma0 - Style1" xfId="231" xr:uid="{00000000-0005-0000-0000-0000DF000000}"/>
    <cellStyle name="Comma1 - Modelo2" xfId="232" xr:uid="{00000000-0005-0000-0000-0000E0000000}"/>
    <cellStyle name="Comma1 - Style2" xfId="233" xr:uid="{00000000-0005-0000-0000-0000E1000000}"/>
    <cellStyle name="COMUN" xfId="234" xr:uid="{00000000-0005-0000-0000-0000E2000000}"/>
    <cellStyle name="Copied" xfId="235" xr:uid="{00000000-0005-0000-0000-0000E3000000}"/>
    <cellStyle name="Copied 2" xfId="236" xr:uid="{00000000-0005-0000-0000-0000E4000000}"/>
    <cellStyle name="COST1" xfId="237" xr:uid="{00000000-0005-0000-0000-0000E5000000}"/>
    <cellStyle name="COST1 2" xfId="238" xr:uid="{00000000-0005-0000-0000-0000E6000000}"/>
    <cellStyle name="Currency [0]_12matrix" xfId="239" xr:uid="{00000000-0005-0000-0000-0000E7000000}"/>
    <cellStyle name="Currency [00]" xfId="240" xr:uid="{00000000-0005-0000-0000-0000E8000000}"/>
    <cellStyle name="Currency [00] 2" xfId="241" xr:uid="{00000000-0005-0000-0000-0000E9000000}"/>
    <cellStyle name="Currency_12matrix" xfId="242" xr:uid="{00000000-0005-0000-0000-0000EA000000}"/>
    <cellStyle name="Data" xfId="243" xr:uid="{00000000-0005-0000-0000-0000EB000000}"/>
    <cellStyle name="Date Short" xfId="244" xr:uid="{00000000-0005-0000-0000-0000EC000000}"/>
    <cellStyle name="Date Short 2" xfId="245" xr:uid="{00000000-0005-0000-0000-0000ED000000}"/>
    <cellStyle name="Dezimal [0]_Germany" xfId="246" xr:uid="{00000000-0005-0000-0000-0000EE000000}"/>
    <cellStyle name="Dezimal_Germany" xfId="247" xr:uid="{00000000-0005-0000-0000-0000EF000000}"/>
    <cellStyle name="Dia" xfId="248" xr:uid="{00000000-0005-0000-0000-0000F0000000}"/>
    <cellStyle name="divisao" xfId="249" xr:uid="{00000000-0005-0000-0000-0000F1000000}"/>
    <cellStyle name="Emphasis 1" xfId="250" xr:uid="{00000000-0005-0000-0000-0000F2000000}"/>
    <cellStyle name="Emphasis 1 2" xfId="251" xr:uid="{00000000-0005-0000-0000-0000F3000000}"/>
    <cellStyle name="Emphasis 2" xfId="252" xr:uid="{00000000-0005-0000-0000-0000F4000000}"/>
    <cellStyle name="Emphasis 2 2" xfId="253" xr:uid="{00000000-0005-0000-0000-0000F5000000}"/>
    <cellStyle name="Emphasis 3" xfId="254" xr:uid="{00000000-0005-0000-0000-0000F6000000}"/>
    <cellStyle name="Emphasis 3 2" xfId="255" xr:uid="{00000000-0005-0000-0000-0000F7000000}"/>
    <cellStyle name="Encabez1" xfId="256" xr:uid="{00000000-0005-0000-0000-0000F8000000}"/>
    <cellStyle name="Encabez2" xfId="257" xr:uid="{00000000-0005-0000-0000-0000F9000000}"/>
    <cellStyle name="Ênfase1 2" xfId="258" xr:uid="{00000000-0005-0000-0000-0000FA000000}"/>
    <cellStyle name="Ênfase1 2 2" xfId="259" xr:uid="{00000000-0005-0000-0000-0000FB000000}"/>
    <cellStyle name="Ênfase1 3" xfId="260" xr:uid="{00000000-0005-0000-0000-0000FC000000}"/>
    <cellStyle name="Ênfase1 3 2" xfId="261" xr:uid="{00000000-0005-0000-0000-0000FD000000}"/>
    <cellStyle name="Ênfase1 4" xfId="262" xr:uid="{00000000-0005-0000-0000-0000FE000000}"/>
    <cellStyle name="Ênfase1 4 2" xfId="263" xr:uid="{00000000-0005-0000-0000-0000FF000000}"/>
    <cellStyle name="Ênfase2 2" xfId="264" xr:uid="{00000000-0005-0000-0000-000000010000}"/>
    <cellStyle name="Ênfase2 2 2" xfId="265" xr:uid="{00000000-0005-0000-0000-000001010000}"/>
    <cellStyle name="Ênfase2 3" xfId="266" xr:uid="{00000000-0005-0000-0000-000002010000}"/>
    <cellStyle name="Ênfase2 3 2" xfId="267" xr:uid="{00000000-0005-0000-0000-000003010000}"/>
    <cellStyle name="Ênfase2 4" xfId="268" xr:uid="{00000000-0005-0000-0000-000004010000}"/>
    <cellStyle name="Ênfase2 4 2" xfId="269" xr:uid="{00000000-0005-0000-0000-000005010000}"/>
    <cellStyle name="Ênfase3 2" xfId="270" xr:uid="{00000000-0005-0000-0000-000006010000}"/>
    <cellStyle name="Ênfase3 2 2" xfId="271" xr:uid="{00000000-0005-0000-0000-000007010000}"/>
    <cellStyle name="Ênfase3 3" xfId="272" xr:uid="{00000000-0005-0000-0000-000008010000}"/>
    <cellStyle name="Ênfase3 3 2" xfId="273" xr:uid="{00000000-0005-0000-0000-000009010000}"/>
    <cellStyle name="Ênfase3 4" xfId="274" xr:uid="{00000000-0005-0000-0000-00000A010000}"/>
    <cellStyle name="Ênfase3 4 2" xfId="275" xr:uid="{00000000-0005-0000-0000-00000B010000}"/>
    <cellStyle name="Ênfase4 2" xfId="276" xr:uid="{00000000-0005-0000-0000-00000C010000}"/>
    <cellStyle name="Ênfase4 2 2" xfId="277" xr:uid="{00000000-0005-0000-0000-00000D010000}"/>
    <cellStyle name="Ênfase4 3" xfId="278" xr:uid="{00000000-0005-0000-0000-00000E010000}"/>
    <cellStyle name="Ênfase4 3 2" xfId="279" xr:uid="{00000000-0005-0000-0000-00000F010000}"/>
    <cellStyle name="Ênfase4 4" xfId="280" xr:uid="{00000000-0005-0000-0000-000010010000}"/>
    <cellStyle name="Ênfase4 4 2" xfId="281" xr:uid="{00000000-0005-0000-0000-000011010000}"/>
    <cellStyle name="Ênfase5 2" xfId="282" xr:uid="{00000000-0005-0000-0000-000012010000}"/>
    <cellStyle name="Ênfase5 2 2" xfId="283" xr:uid="{00000000-0005-0000-0000-000013010000}"/>
    <cellStyle name="Ênfase5 3" xfId="284" xr:uid="{00000000-0005-0000-0000-000014010000}"/>
    <cellStyle name="Ênfase5 3 2" xfId="285" xr:uid="{00000000-0005-0000-0000-000015010000}"/>
    <cellStyle name="Ênfase5 4" xfId="286" xr:uid="{00000000-0005-0000-0000-000016010000}"/>
    <cellStyle name="Ênfase5 4 2" xfId="287" xr:uid="{00000000-0005-0000-0000-000017010000}"/>
    <cellStyle name="Ênfase6 2" xfId="288" xr:uid="{00000000-0005-0000-0000-000018010000}"/>
    <cellStyle name="Ênfase6 2 2" xfId="289" xr:uid="{00000000-0005-0000-0000-000019010000}"/>
    <cellStyle name="Ênfase6 3" xfId="290" xr:uid="{00000000-0005-0000-0000-00001A010000}"/>
    <cellStyle name="Ênfase6 3 2" xfId="291" xr:uid="{00000000-0005-0000-0000-00001B010000}"/>
    <cellStyle name="Ênfase6 4" xfId="292" xr:uid="{00000000-0005-0000-0000-00001C010000}"/>
    <cellStyle name="Ênfase6 4 2" xfId="293" xr:uid="{00000000-0005-0000-0000-00001D010000}"/>
    <cellStyle name="Enter Currency (0)" xfId="294" xr:uid="{00000000-0005-0000-0000-00001E010000}"/>
    <cellStyle name="Enter Currency (0) 2" xfId="295" xr:uid="{00000000-0005-0000-0000-00001F010000}"/>
    <cellStyle name="Enter Currency (2)" xfId="296" xr:uid="{00000000-0005-0000-0000-000020010000}"/>
    <cellStyle name="Enter Currency (2) 2" xfId="297" xr:uid="{00000000-0005-0000-0000-000021010000}"/>
    <cellStyle name="Enter Units (0)" xfId="298" xr:uid="{00000000-0005-0000-0000-000022010000}"/>
    <cellStyle name="Enter Units (0) 2" xfId="299" xr:uid="{00000000-0005-0000-0000-000023010000}"/>
    <cellStyle name="Enter Units (1)" xfId="300" xr:uid="{00000000-0005-0000-0000-000024010000}"/>
    <cellStyle name="Enter Units (1) 2" xfId="301" xr:uid="{00000000-0005-0000-0000-000025010000}"/>
    <cellStyle name="Enter Units (2)" xfId="302" xr:uid="{00000000-0005-0000-0000-000026010000}"/>
    <cellStyle name="Enter Units (2) 2" xfId="303" xr:uid="{00000000-0005-0000-0000-000027010000}"/>
    <cellStyle name="Entered" xfId="304" xr:uid="{00000000-0005-0000-0000-000028010000}"/>
    <cellStyle name="Entered 2" xfId="305" xr:uid="{00000000-0005-0000-0000-000029010000}"/>
    <cellStyle name="Entrada 2" xfId="306" xr:uid="{00000000-0005-0000-0000-00002A010000}"/>
    <cellStyle name="Entrada 2 2" xfId="307" xr:uid="{00000000-0005-0000-0000-00002B010000}"/>
    <cellStyle name="Entrada 3" xfId="308" xr:uid="{00000000-0005-0000-0000-00002C010000}"/>
    <cellStyle name="Entrada 3 2" xfId="309" xr:uid="{00000000-0005-0000-0000-00002D010000}"/>
    <cellStyle name="Entrada 4" xfId="310" xr:uid="{00000000-0005-0000-0000-00002E010000}"/>
    <cellStyle name="Entrada 4 2" xfId="311" xr:uid="{00000000-0005-0000-0000-00002F010000}"/>
    <cellStyle name="Estilo 1" xfId="312" xr:uid="{00000000-0005-0000-0000-000030010000}"/>
    <cellStyle name="Estilo 1 2" xfId="313" xr:uid="{00000000-0005-0000-0000-000031010000}"/>
    <cellStyle name="Euro" xfId="314" xr:uid="{00000000-0005-0000-0000-000032010000}"/>
    <cellStyle name="F2" xfId="315" xr:uid="{00000000-0005-0000-0000-000033010000}"/>
    <cellStyle name="F3" xfId="316" xr:uid="{00000000-0005-0000-0000-000034010000}"/>
    <cellStyle name="F4" xfId="317" xr:uid="{00000000-0005-0000-0000-000035010000}"/>
    <cellStyle name="F5" xfId="318" xr:uid="{00000000-0005-0000-0000-000036010000}"/>
    <cellStyle name="F6" xfId="319" xr:uid="{00000000-0005-0000-0000-000037010000}"/>
    <cellStyle name="F7" xfId="320" xr:uid="{00000000-0005-0000-0000-000038010000}"/>
    <cellStyle name="F8" xfId="321" xr:uid="{00000000-0005-0000-0000-000039010000}"/>
    <cellStyle name="Fijo" xfId="322" xr:uid="{00000000-0005-0000-0000-00003A010000}"/>
    <cellStyle name="Financiero" xfId="323" xr:uid="{00000000-0005-0000-0000-00003B010000}"/>
    <cellStyle name="Followed Hyperlink" xfId="324" xr:uid="{00000000-0005-0000-0000-00003C010000}"/>
    <cellStyle name="Followed Hyperlink 2" xfId="325" xr:uid="{00000000-0005-0000-0000-00003D010000}"/>
    <cellStyle name="Good" xfId="326" xr:uid="{00000000-0005-0000-0000-00003E010000}"/>
    <cellStyle name="Good 2" xfId="327" xr:uid="{00000000-0005-0000-0000-00003F010000}"/>
    <cellStyle name="Grey" xfId="328" xr:uid="{00000000-0005-0000-0000-000040010000}"/>
    <cellStyle name="Grey 2" xfId="329" xr:uid="{00000000-0005-0000-0000-000041010000}"/>
    <cellStyle name="Grupo" xfId="330" xr:uid="{00000000-0005-0000-0000-000042010000}"/>
    <cellStyle name="Grupo 2" xfId="991" xr:uid="{00000000-0005-0000-0000-000043010000}"/>
    <cellStyle name="Header1" xfId="331" xr:uid="{00000000-0005-0000-0000-000044010000}"/>
    <cellStyle name="Header1 2" xfId="332" xr:uid="{00000000-0005-0000-0000-000045010000}"/>
    <cellStyle name="Header2" xfId="333" xr:uid="{00000000-0005-0000-0000-000046010000}"/>
    <cellStyle name="Header2 2" xfId="334" xr:uid="{00000000-0005-0000-0000-000047010000}"/>
    <cellStyle name="Heading 1" xfId="335" xr:uid="{00000000-0005-0000-0000-000048010000}"/>
    <cellStyle name="Heading 1 2" xfId="336" xr:uid="{00000000-0005-0000-0000-000049010000}"/>
    <cellStyle name="Heading 2" xfId="337" xr:uid="{00000000-0005-0000-0000-00004A010000}"/>
    <cellStyle name="Heading 2 2" xfId="338" xr:uid="{00000000-0005-0000-0000-00004B010000}"/>
    <cellStyle name="Heading 3" xfId="339" xr:uid="{00000000-0005-0000-0000-00004C010000}"/>
    <cellStyle name="Heading 3 2" xfId="340" xr:uid="{00000000-0005-0000-0000-00004D010000}"/>
    <cellStyle name="Heading 4" xfId="341" xr:uid="{00000000-0005-0000-0000-00004E010000}"/>
    <cellStyle name="Heading 4 2" xfId="342" xr:uid="{00000000-0005-0000-0000-00004F010000}"/>
    <cellStyle name="Incorreto 2" xfId="343" xr:uid="{00000000-0005-0000-0000-000050010000}"/>
    <cellStyle name="Incorreto 2 2" xfId="344" xr:uid="{00000000-0005-0000-0000-000051010000}"/>
    <cellStyle name="Incorreto 3" xfId="345" xr:uid="{00000000-0005-0000-0000-000052010000}"/>
    <cellStyle name="Incorreto 3 2" xfId="346" xr:uid="{00000000-0005-0000-0000-000053010000}"/>
    <cellStyle name="Incorreto 4" xfId="347" xr:uid="{00000000-0005-0000-0000-000054010000}"/>
    <cellStyle name="Incorreto 4 2" xfId="348" xr:uid="{00000000-0005-0000-0000-000055010000}"/>
    <cellStyle name="Indefinido" xfId="349" xr:uid="{00000000-0005-0000-0000-000056010000}"/>
    <cellStyle name="Indefinido 2" xfId="350" xr:uid="{00000000-0005-0000-0000-000057010000}"/>
    <cellStyle name="indice" xfId="351" xr:uid="{00000000-0005-0000-0000-000058010000}"/>
    <cellStyle name="indice 2" xfId="352" xr:uid="{00000000-0005-0000-0000-000059010000}"/>
    <cellStyle name="indice 3" xfId="353" xr:uid="{00000000-0005-0000-0000-00005A010000}"/>
    <cellStyle name="indice 4" xfId="354" xr:uid="{00000000-0005-0000-0000-00005B010000}"/>
    <cellStyle name="Input" xfId="355" xr:uid="{00000000-0005-0000-0000-00005C010000}"/>
    <cellStyle name="Input [yellow]" xfId="356" xr:uid="{00000000-0005-0000-0000-00005D010000}"/>
    <cellStyle name="Input [yellow] 2" xfId="357" xr:uid="{00000000-0005-0000-0000-00005E010000}"/>
    <cellStyle name="Input 2" xfId="358" xr:uid="{00000000-0005-0000-0000-00005F010000}"/>
    <cellStyle name="Komma [0]_laroux" xfId="359" xr:uid="{00000000-0005-0000-0000-000060010000}"/>
    <cellStyle name="Komma_laroux" xfId="360" xr:uid="{00000000-0005-0000-0000-000061010000}"/>
    <cellStyle name="l" xfId="361" xr:uid="{00000000-0005-0000-0000-000062010000}"/>
    <cellStyle name="l 2" xfId="362" xr:uid="{00000000-0005-0000-0000-000063010000}"/>
    <cellStyle name="LeverCurrency" xfId="363" xr:uid="{00000000-0005-0000-0000-000064010000}"/>
    <cellStyle name="LeverCurrency 2" xfId="364" xr:uid="{00000000-0005-0000-0000-000065010000}"/>
    <cellStyle name="LeverGRP" xfId="365" xr:uid="{00000000-0005-0000-0000-000066010000}"/>
    <cellStyle name="LeverGRP 2" xfId="366" xr:uid="{00000000-0005-0000-0000-000067010000}"/>
    <cellStyle name="Lien hypertexte_PERSONAL" xfId="367" xr:uid="{00000000-0005-0000-0000-000068010000}"/>
    <cellStyle name="Link Currency (0)" xfId="368" xr:uid="{00000000-0005-0000-0000-000069010000}"/>
    <cellStyle name="Link Currency (0) 2" xfId="369" xr:uid="{00000000-0005-0000-0000-00006A010000}"/>
    <cellStyle name="Link Currency (2)" xfId="370" xr:uid="{00000000-0005-0000-0000-00006B010000}"/>
    <cellStyle name="Link Currency (2) 2" xfId="371" xr:uid="{00000000-0005-0000-0000-00006C010000}"/>
    <cellStyle name="Link Units (0)" xfId="372" xr:uid="{00000000-0005-0000-0000-00006D010000}"/>
    <cellStyle name="Link Units (0) 2" xfId="373" xr:uid="{00000000-0005-0000-0000-00006E010000}"/>
    <cellStyle name="Link Units (1)" xfId="374" xr:uid="{00000000-0005-0000-0000-00006F010000}"/>
    <cellStyle name="Link Units (1) 2" xfId="375" xr:uid="{00000000-0005-0000-0000-000070010000}"/>
    <cellStyle name="Link Units (2)" xfId="376" xr:uid="{00000000-0005-0000-0000-000071010000}"/>
    <cellStyle name="Link Units (2) 2" xfId="377" xr:uid="{00000000-0005-0000-0000-000072010000}"/>
    <cellStyle name="Linked Cell" xfId="378" xr:uid="{00000000-0005-0000-0000-000073010000}"/>
    <cellStyle name="Linked Cell 2" xfId="379" xr:uid="{00000000-0005-0000-0000-000074010000}"/>
    <cellStyle name="Millares [0]_10 AVERIAS MASIVAS + ANT" xfId="380" xr:uid="{00000000-0005-0000-0000-000075010000}"/>
    <cellStyle name="Millares_10 AVERIAS MASIVAS + ANT" xfId="381" xr:uid="{00000000-0005-0000-0000-000076010000}"/>
    <cellStyle name="Milliers [0]_#4-Cust Seg Cnt Map" xfId="382" xr:uid="{00000000-0005-0000-0000-000077010000}"/>
    <cellStyle name="Milliers_#4-Cust Seg Cnt Map" xfId="383" xr:uid="{00000000-0005-0000-0000-000078010000}"/>
    <cellStyle name="Moeda 2" xfId="384" xr:uid="{00000000-0005-0000-0000-000079010000}"/>
    <cellStyle name="Moeda 2 2" xfId="385" xr:uid="{00000000-0005-0000-0000-00007A010000}"/>
    <cellStyle name="Moeda 2 2 2" xfId="386" xr:uid="{00000000-0005-0000-0000-00007B010000}"/>
    <cellStyle name="Moeda 2 3" xfId="387" xr:uid="{00000000-0005-0000-0000-00007C010000}"/>
    <cellStyle name="Moeda 3" xfId="388" xr:uid="{00000000-0005-0000-0000-00007D010000}"/>
    <cellStyle name="Moeda 3 2" xfId="389" xr:uid="{00000000-0005-0000-0000-00007E010000}"/>
    <cellStyle name="Moeda 3 2 2" xfId="390" xr:uid="{00000000-0005-0000-0000-00007F010000}"/>
    <cellStyle name="Moeda 3 3" xfId="391" xr:uid="{00000000-0005-0000-0000-000080010000}"/>
    <cellStyle name="Moneda [0]_10 AVERIAS MASIVAS + ANT" xfId="392" xr:uid="{00000000-0005-0000-0000-000081010000}"/>
    <cellStyle name="Moneda_10 AVERIAS MASIVAS + ANT" xfId="393" xr:uid="{00000000-0005-0000-0000-000082010000}"/>
    <cellStyle name="Monétaire [0]_#4-Cust Seg Cnt Map" xfId="394" xr:uid="{00000000-0005-0000-0000-000083010000}"/>
    <cellStyle name="Monétaire_#4-Cust Seg Cnt Map" xfId="395" xr:uid="{00000000-0005-0000-0000-000084010000}"/>
    <cellStyle name="Monetario" xfId="396" xr:uid="{00000000-0005-0000-0000-000085010000}"/>
    <cellStyle name="movimentação" xfId="397" xr:uid="{00000000-0005-0000-0000-000086010000}"/>
    <cellStyle name="Neutra 2" xfId="398" xr:uid="{00000000-0005-0000-0000-000087010000}"/>
    <cellStyle name="Neutra 2 2" xfId="399" xr:uid="{00000000-0005-0000-0000-000088010000}"/>
    <cellStyle name="Neutra 3" xfId="400" xr:uid="{00000000-0005-0000-0000-000089010000}"/>
    <cellStyle name="Neutra 3 2" xfId="401" xr:uid="{00000000-0005-0000-0000-00008A010000}"/>
    <cellStyle name="Neutra 4" xfId="402" xr:uid="{00000000-0005-0000-0000-00008B010000}"/>
    <cellStyle name="Neutra 4 2" xfId="403" xr:uid="{00000000-0005-0000-0000-00008C010000}"/>
    <cellStyle name="Neutral" xfId="404" xr:uid="{00000000-0005-0000-0000-00008D010000}"/>
    <cellStyle name="Neutral 2" xfId="405" xr:uid="{00000000-0005-0000-0000-00008E010000}"/>
    <cellStyle name="no dec" xfId="406" xr:uid="{00000000-0005-0000-0000-00008F010000}"/>
    <cellStyle name="Normal" xfId="0" builtinId="0"/>
    <cellStyle name="Normal - Style1" xfId="407" xr:uid="{00000000-0005-0000-0000-000091010000}"/>
    <cellStyle name="Normal - Style1 2" xfId="408" xr:uid="{00000000-0005-0000-0000-000092010000}"/>
    <cellStyle name="Normal 10" xfId="409" xr:uid="{00000000-0005-0000-0000-000093010000}"/>
    <cellStyle name="Normal 10 2" xfId="410" xr:uid="{00000000-0005-0000-0000-000094010000}"/>
    <cellStyle name="Normal 10 2 2" xfId="411" xr:uid="{00000000-0005-0000-0000-000095010000}"/>
    <cellStyle name="Normal 10 2 2 2" xfId="412" xr:uid="{00000000-0005-0000-0000-000096010000}"/>
    <cellStyle name="Normal 10 2 3" xfId="413" xr:uid="{00000000-0005-0000-0000-000097010000}"/>
    <cellStyle name="Normal 10 3" xfId="414" xr:uid="{00000000-0005-0000-0000-000098010000}"/>
    <cellStyle name="Normal 10 3 2" xfId="415" xr:uid="{00000000-0005-0000-0000-000099010000}"/>
    <cellStyle name="Normal 10 3 2 2" xfId="416" xr:uid="{00000000-0005-0000-0000-00009A010000}"/>
    <cellStyle name="Normal 10 3 3" xfId="417" xr:uid="{00000000-0005-0000-0000-00009B010000}"/>
    <cellStyle name="Normal 10 4" xfId="418" xr:uid="{00000000-0005-0000-0000-00009C010000}"/>
    <cellStyle name="Normal 10 4 2" xfId="419" xr:uid="{00000000-0005-0000-0000-00009D010000}"/>
    <cellStyle name="Normal 10 4 2 2" xfId="420" xr:uid="{00000000-0005-0000-0000-00009E010000}"/>
    <cellStyle name="Normal 10 4 3" xfId="421" xr:uid="{00000000-0005-0000-0000-00009F010000}"/>
    <cellStyle name="Normal 10 5" xfId="422" xr:uid="{00000000-0005-0000-0000-0000A0010000}"/>
    <cellStyle name="Normal 10 5 2" xfId="423" xr:uid="{00000000-0005-0000-0000-0000A1010000}"/>
    <cellStyle name="Normal 10 6" xfId="424" xr:uid="{00000000-0005-0000-0000-0000A2010000}"/>
    <cellStyle name="Normal 11" xfId="425" xr:uid="{00000000-0005-0000-0000-0000A3010000}"/>
    <cellStyle name="Normal 11 2" xfId="426" xr:uid="{00000000-0005-0000-0000-0000A4010000}"/>
    <cellStyle name="Normal 11 2 2" xfId="427" xr:uid="{00000000-0005-0000-0000-0000A5010000}"/>
    <cellStyle name="Normal 11 2 2 2" xfId="428" xr:uid="{00000000-0005-0000-0000-0000A6010000}"/>
    <cellStyle name="Normal 11 2 3" xfId="429" xr:uid="{00000000-0005-0000-0000-0000A7010000}"/>
    <cellStyle name="Normal 11 3" xfId="430" xr:uid="{00000000-0005-0000-0000-0000A8010000}"/>
    <cellStyle name="Normal 11 3 2" xfId="431" xr:uid="{00000000-0005-0000-0000-0000A9010000}"/>
    <cellStyle name="Normal 11 3 2 2" xfId="432" xr:uid="{00000000-0005-0000-0000-0000AA010000}"/>
    <cellStyle name="Normal 11 3 3" xfId="433" xr:uid="{00000000-0005-0000-0000-0000AB010000}"/>
    <cellStyle name="Normal 11 4" xfId="434" xr:uid="{00000000-0005-0000-0000-0000AC010000}"/>
    <cellStyle name="Normal 11 4 2" xfId="435" xr:uid="{00000000-0005-0000-0000-0000AD010000}"/>
    <cellStyle name="Normal 11 4 2 2" xfId="436" xr:uid="{00000000-0005-0000-0000-0000AE010000}"/>
    <cellStyle name="Normal 11 4 3" xfId="437" xr:uid="{00000000-0005-0000-0000-0000AF010000}"/>
    <cellStyle name="Normal 11 5" xfId="438" xr:uid="{00000000-0005-0000-0000-0000B0010000}"/>
    <cellStyle name="Normal 11 5 2" xfId="439" xr:uid="{00000000-0005-0000-0000-0000B1010000}"/>
    <cellStyle name="Normal 11 6" xfId="440" xr:uid="{00000000-0005-0000-0000-0000B2010000}"/>
    <cellStyle name="Normal 12" xfId="441" xr:uid="{00000000-0005-0000-0000-0000B3010000}"/>
    <cellStyle name="Normal 12 2" xfId="442" xr:uid="{00000000-0005-0000-0000-0000B4010000}"/>
    <cellStyle name="Normal 12 2 2" xfId="443" xr:uid="{00000000-0005-0000-0000-0000B5010000}"/>
    <cellStyle name="Normal 12 2 2 2" xfId="444" xr:uid="{00000000-0005-0000-0000-0000B6010000}"/>
    <cellStyle name="Normal 12 2 3" xfId="445" xr:uid="{00000000-0005-0000-0000-0000B7010000}"/>
    <cellStyle name="Normal 12 3" xfId="446" xr:uid="{00000000-0005-0000-0000-0000B8010000}"/>
    <cellStyle name="Normal 12 3 2" xfId="447" xr:uid="{00000000-0005-0000-0000-0000B9010000}"/>
    <cellStyle name="Normal 12 3 2 2" xfId="448" xr:uid="{00000000-0005-0000-0000-0000BA010000}"/>
    <cellStyle name="Normal 12 3 3" xfId="449" xr:uid="{00000000-0005-0000-0000-0000BB010000}"/>
    <cellStyle name="Normal 12 4" xfId="450" xr:uid="{00000000-0005-0000-0000-0000BC010000}"/>
    <cellStyle name="Normal 12 4 2" xfId="451" xr:uid="{00000000-0005-0000-0000-0000BD010000}"/>
    <cellStyle name="Normal 12 4 2 2" xfId="452" xr:uid="{00000000-0005-0000-0000-0000BE010000}"/>
    <cellStyle name="Normal 12 4 3" xfId="453" xr:uid="{00000000-0005-0000-0000-0000BF010000}"/>
    <cellStyle name="Normal 12 5" xfId="454" xr:uid="{00000000-0005-0000-0000-0000C0010000}"/>
    <cellStyle name="Normal 12 5 2" xfId="455" xr:uid="{00000000-0005-0000-0000-0000C1010000}"/>
    <cellStyle name="Normal 12 6" xfId="456" xr:uid="{00000000-0005-0000-0000-0000C2010000}"/>
    <cellStyle name="Normal 13" xfId="457" xr:uid="{00000000-0005-0000-0000-0000C3010000}"/>
    <cellStyle name="Normal 13 2" xfId="458" xr:uid="{00000000-0005-0000-0000-0000C4010000}"/>
    <cellStyle name="Normal 13 2 2" xfId="459" xr:uid="{00000000-0005-0000-0000-0000C5010000}"/>
    <cellStyle name="Normal 13 2 2 2" xfId="460" xr:uid="{00000000-0005-0000-0000-0000C6010000}"/>
    <cellStyle name="Normal 13 2 3" xfId="461" xr:uid="{00000000-0005-0000-0000-0000C7010000}"/>
    <cellStyle name="Normal 13 3" xfId="462" xr:uid="{00000000-0005-0000-0000-0000C8010000}"/>
    <cellStyle name="Normal 13 3 2" xfId="463" xr:uid="{00000000-0005-0000-0000-0000C9010000}"/>
    <cellStyle name="Normal 13 3 2 2" xfId="464" xr:uid="{00000000-0005-0000-0000-0000CA010000}"/>
    <cellStyle name="Normal 13 3 3" xfId="465" xr:uid="{00000000-0005-0000-0000-0000CB010000}"/>
    <cellStyle name="Normal 13 4" xfId="466" xr:uid="{00000000-0005-0000-0000-0000CC010000}"/>
    <cellStyle name="Normal 13 4 2" xfId="467" xr:uid="{00000000-0005-0000-0000-0000CD010000}"/>
    <cellStyle name="Normal 13 4 2 2" xfId="468" xr:uid="{00000000-0005-0000-0000-0000CE010000}"/>
    <cellStyle name="Normal 13 4 3" xfId="469" xr:uid="{00000000-0005-0000-0000-0000CF010000}"/>
    <cellStyle name="Normal 13 5" xfId="470" xr:uid="{00000000-0005-0000-0000-0000D0010000}"/>
    <cellStyle name="Normal 13 5 2" xfId="471" xr:uid="{00000000-0005-0000-0000-0000D1010000}"/>
    <cellStyle name="Normal 13 6" xfId="472" xr:uid="{00000000-0005-0000-0000-0000D2010000}"/>
    <cellStyle name="Normal 13 6 2" xfId="473" xr:uid="{00000000-0005-0000-0000-0000D3010000}"/>
    <cellStyle name="Normal 13 7" xfId="474" xr:uid="{00000000-0005-0000-0000-0000D4010000}"/>
    <cellStyle name="Normal 14" xfId="475" xr:uid="{00000000-0005-0000-0000-0000D5010000}"/>
    <cellStyle name="Normal 14 2" xfId="476" xr:uid="{00000000-0005-0000-0000-0000D6010000}"/>
    <cellStyle name="Normal 14 2 2" xfId="477" xr:uid="{00000000-0005-0000-0000-0000D7010000}"/>
    <cellStyle name="Normal 14 3" xfId="478" xr:uid="{00000000-0005-0000-0000-0000D8010000}"/>
    <cellStyle name="Normal 15" xfId="3" xr:uid="{00000000-0005-0000-0000-0000D9010000}"/>
    <cellStyle name="Normal 15 2" xfId="6" xr:uid="{00000000-0005-0000-0000-0000DA010000}"/>
    <cellStyle name="Normal 15 3" xfId="479" xr:uid="{00000000-0005-0000-0000-0000DB010000}"/>
    <cellStyle name="Normal 15 3 2" xfId="480" xr:uid="{00000000-0005-0000-0000-0000DC010000}"/>
    <cellStyle name="Normal 15 3 2 2" xfId="481" xr:uid="{00000000-0005-0000-0000-0000DD010000}"/>
    <cellStyle name="Normal 15 3 3" xfId="482" xr:uid="{00000000-0005-0000-0000-0000DE010000}"/>
    <cellStyle name="Normal 16" xfId="483" xr:uid="{00000000-0005-0000-0000-0000DF010000}"/>
    <cellStyle name="Normal 17" xfId="484" xr:uid="{00000000-0005-0000-0000-0000E0010000}"/>
    <cellStyle name="Normal 17 2" xfId="485" xr:uid="{00000000-0005-0000-0000-0000E1010000}"/>
    <cellStyle name="Normal 18" xfId="486" xr:uid="{00000000-0005-0000-0000-0000E2010000}"/>
    <cellStyle name="Normal 19" xfId="487" xr:uid="{00000000-0005-0000-0000-0000E3010000}"/>
    <cellStyle name="Normal 19 2" xfId="488" xr:uid="{00000000-0005-0000-0000-0000E4010000}"/>
    <cellStyle name="Normal 2" xfId="489" xr:uid="{00000000-0005-0000-0000-0000E5010000}"/>
    <cellStyle name="Normal 2 2" xfId="490" xr:uid="{00000000-0005-0000-0000-0000E6010000}"/>
    <cellStyle name="Normal 2 2 2" xfId="491" xr:uid="{00000000-0005-0000-0000-0000E7010000}"/>
    <cellStyle name="Normal 2 2 2 2" xfId="492" xr:uid="{00000000-0005-0000-0000-0000E8010000}"/>
    <cellStyle name="Normal 2 3" xfId="493" xr:uid="{00000000-0005-0000-0000-0000E9010000}"/>
    <cellStyle name="Normal 2 3 2" xfId="494" xr:uid="{00000000-0005-0000-0000-0000EA010000}"/>
    <cellStyle name="Normal 2 4" xfId="495" xr:uid="{00000000-0005-0000-0000-0000EB010000}"/>
    <cellStyle name="Normal 2 4 2" xfId="496" xr:uid="{00000000-0005-0000-0000-0000EC010000}"/>
    <cellStyle name="Normal 20" xfId="497" xr:uid="{00000000-0005-0000-0000-0000ED010000}"/>
    <cellStyle name="Normal 20 2" xfId="498" xr:uid="{00000000-0005-0000-0000-0000EE010000}"/>
    <cellStyle name="Normal 21" xfId="499" xr:uid="{00000000-0005-0000-0000-0000EF010000}"/>
    <cellStyle name="Normal 21 2" xfId="500" xr:uid="{00000000-0005-0000-0000-0000F0010000}"/>
    <cellStyle name="Normal 22" xfId="501" xr:uid="{00000000-0005-0000-0000-0000F1010000}"/>
    <cellStyle name="Normal 22 2" xfId="502" xr:uid="{00000000-0005-0000-0000-0000F2010000}"/>
    <cellStyle name="Normal 23" xfId="503" xr:uid="{00000000-0005-0000-0000-0000F3010000}"/>
    <cellStyle name="Normal 23 2" xfId="504" xr:uid="{00000000-0005-0000-0000-0000F4010000}"/>
    <cellStyle name="Normal 24" xfId="505" xr:uid="{00000000-0005-0000-0000-0000F5010000}"/>
    <cellStyle name="Normal 25" xfId="506" xr:uid="{00000000-0005-0000-0000-0000F6010000}"/>
    <cellStyle name="Normal 26" xfId="507" xr:uid="{00000000-0005-0000-0000-0000F7010000}"/>
    <cellStyle name="Normal 27" xfId="508" xr:uid="{00000000-0005-0000-0000-0000F8010000}"/>
    <cellStyle name="Normal 28" xfId="509" xr:uid="{00000000-0005-0000-0000-0000F9010000}"/>
    <cellStyle name="Normal 29" xfId="510" xr:uid="{00000000-0005-0000-0000-0000FA010000}"/>
    <cellStyle name="Normal 3" xfId="511" xr:uid="{00000000-0005-0000-0000-0000FB010000}"/>
    <cellStyle name="Normal 3 2" xfId="512" xr:uid="{00000000-0005-0000-0000-0000FC010000}"/>
    <cellStyle name="Normal 3 2 2" xfId="513" xr:uid="{00000000-0005-0000-0000-0000FD010000}"/>
    <cellStyle name="Normal 30" xfId="514" xr:uid="{00000000-0005-0000-0000-0000FE010000}"/>
    <cellStyle name="Normal 31" xfId="515" xr:uid="{00000000-0005-0000-0000-0000FF010000}"/>
    <cellStyle name="Normal 32" xfId="516" xr:uid="{00000000-0005-0000-0000-000000020000}"/>
    <cellStyle name="Normal 33" xfId="517" xr:uid="{00000000-0005-0000-0000-000001020000}"/>
    <cellStyle name="Normal 34" xfId="518" xr:uid="{00000000-0005-0000-0000-000002020000}"/>
    <cellStyle name="Normal 35" xfId="519" xr:uid="{00000000-0005-0000-0000-000003020000}"/>
    <cellStyle name="Normal 36" xfId="520" xr:uid="{00000000-0005-0000-0000-000004020000}"/>
    <cellStyle name="Normal 37" xfId="521" xr:uid="{00000000-0005-0000-0000-000005020000}"/>
    <cellStyle name="Normal 38" xfId="522" xr:uid="{00000000-0005-0000-0000-000006020000}"/>
    <cellStyle name="Normal 39" xfId="523" xr:uid="{00000000-0005-0000-0000-000007020000}"/>
    <cellStyle name="Normal 4" xfId="524" xr:uid="{00000000-0005-0000-0000-000008020000}"/>
    <cellStyle name="Normal 4 2" xfId="525" xr:uid="{00000000-0005-0000-0000-000009020000}"/>
    <cellStyle name="Normal 4 2 2" xfId="526" xr:uid="{00000000-0005-0000-0000-00000A020000}"/>
    <cellStyle name="Normal 40" xfId="527" xr:uid="{00000000-0005-0000-0000-00000B020000}"/>
    <cellStyle name="Normal 41" xfId="528" xr:uid="{00000000-0005-0000-0000-00000C020000}"/>
    <cellStyle name="Normal 42" xfId="529" xr:uid="{00000000-0005-0000-0000-00000D020000}"/>
    <cellStyle name="Normal 43" xfId="530" xr:uid="{00000000-0005-0000-0000-00000E020000}"/>
    <cellStyle name="Normal 44" xfId="531" xr:uid="{00000000-0005-0000-0000-00000F020000}"/>
    <cellStyle name="Normal 45" xfId="532" xr:uid="{00000000-0005-0000-0000-000010020000}"/>
    <cellStyle name="Normal 46" xfId="533" xr:uid="{00000000-0005-0000-0000-000011020000}"/>
    <cellStyle name="Normal 47" xfId="534" xr:uid="{00000000-0005-0000-0000-000012020000}"/>
    <cellStyle name="Normal 48" xfId="535" xr:uid="{00000000-0005-0000-0000-000013020000}"/>
    <cellStyle name="Normal 49" xfId="536" xr:uid="{00000000-0005-0000-0000-000014020000}"/>
    <cellStyle name="Normal 5" xfId="537" xr:uid="{00000000-0005-0000-0000-000015020000}"/>
    <cellStyle name="Normal 5 2" xfId="538" xr:uid="{00000000-0005-0000-0000-000016020000}"/>
    <cellStyle name="Normal 5 2 2" xfId="539" xr:uid="{00000000-0005-0000-0000-000017020000}"/>
    <cellStyle name="Normal 5 2 3" xfId="540" xr:uid="{00000000-0005-0000-0000-000018020000}"/>
    <cellStyle name="Normal 5 2 4" xfId="541" xr:uid="{00000000-0005-0000-0000-000019020000}"/>
    <cellStyle name="Normal 5 3" xfId="542" xr:uid="{00000000-0005-0000-0000-00001A020000}"/>
    <cellStyle name="Normal 5 4" xfId="543" xr:uid="{00000000-0005-0000-0000-00001B020000}"/>
    <cellStyle name="Normal 5 5" xfId="544" xr:uid="{00000000-0005-0000-0000-00001C020000}"/>
    <cellStyle name="Normal 5 6" xfId="545" xr:uid="{00000000-0005-0000-0000-00001D020000}"/>
    <cellStyle name="Normal 50" xfId="546" xr:uid="{00000000-0005-0000-0000-00001E020000}"/>
    <cellStyle name="Normal 51" xfId="547" xr:uid="{00000000-0005-0000-0000-00001F020000}"/>
    <cellStyle name="Normal 52" xfId="548" xr:uid="{00000000-0005-0000-0000-000020020000}"/>
    <cellStyle name="Normal 53" xfId="549" xr:uid="{00000000-0005-0000-0000-000021020000}"/>
    <cellStyle name="Normal 54" xfId="550" xr:uid="{00000000-0005-0000-0000-000022020000}"/>
    <cellStyle name="Normal 55" xfId="551" xr:uid="{00000000-0005-0000-0000-000023020000}"/>
    <cellStyle name="Normal 56" xfId="552" xr:uid="{00000000-0005-0000-0000-000024020000}"/>
    <cellStyle name="Normal 57" xfId="553" xr:uid="{00000000-0005-0000-0000-000025020000}"/>
    <cellStyle name="Normal 58" xfId="554" xr:uid="{00000000-0005-0000-0000-000026020000}"/>
    <cellStyle name="Normal 59" xfId="555" xr:uid="{00000000-0005-0000-0000-000027020000}"/>
    <cellStyle name="Normal 6" xfId="556" xr:uid="{00000000-0005-0000-0000-000028020000}"/>
    <cellStyle name="Normal 6 2" xfId="557" xr:uid="{00000000-0005-0000-0000-000029020000}"/>
    <cellStyle name="Normal 6 2 2" xfId="558" xr:uid="{00000000-0005-0000-0000-00002A020000}"/>
    <cellStyle name="Normal 6 2 2 2" xfId="559" xr:uid="{00000000-0005-0000-0000-00002B020000}"/>
    <cellStyle name="Normal 6 2 2 2 2" xfId="560" xr:uid="{00000000-0005-0000-0000-00002C020000}"/>
    <cellStyle name="Normal 6 2 2 2 2 2" xfId="561" xr:uid="{00000000-0005-0000-0000-00002D020000}"/>
    <cellStyle name="Normal 6 2 2 2 3" xfId="562" xr:uid="{00000000-0005-0000-0000-00002E020000}"/>
    <cellStyle name="Normal 6 2 2 3" xfId="563" xr:uid="{00000000-0005-0000-0000-00002F020000}"/>
    <cellStyle name="Normal 6 2 2 3 2" xfId="564" xr:uid="{00000000-0005-0000-0000-000030020000}"/>
    <cellStyle name="Normal 6 2 2 3 2 2" xfId="565" xr:uid="{00000000-0005-0000-0000-000031020000}"/>
    <cellStyle name="Normal 6 2 2 3 3" xfId="566" xr:uid="{00000000-0005-0000-0000-000032020000}"/>
    <cellStyle name="Normal 6 2 2 4" xfId="567" xr:uid="{00000000-0005-0000-0000-000033020000}"/>
    <cellStyle name="Normal 6 2 2 4 2" xfId="568" xr:uid="{00000000-0005-0000-0000-000034020000}"/>
    <cellStyle name="Normal 6 2 2 4 2 2" xfId="569" xr:uid="{00000000-0005-0000-0000-000035020000}"/>
    <cellStyle name="Normal 6 2 2 4 3" xfId="570" xr:uid="{00000000-0005-0000-0000-000036020000}"/>
    <cellStyle name="Normal 6 2 2 5" xfId="571" xr:uid="{00000000-0005-0000-0000-000037020000}"/>
    <cellStyle name="Normal 6 2 2 5 2" xfId="572" xr:uid="{00000000-0005-0000-0000-000038020000}"/>
    <cellStyle name="Normal 6 2 2 6" xfId="573" xr:uid="{00000000-0005-0000-0000-000039020000}"/>
    <cellStyle name="Normal 6 2 3" xfId="574" xr:uid="{00000000-0005-0000-0000-00003A020000}"/>
    <cellStyle name="Normal 6 2 3 2" xfId="575" xr:uid="{00000000-0005-0000-0000-00003B020000}"/>
    <cellStyle name="Normal 6 2 3 2 2" xfId="576" xr:uid="{00000000-0005-0000-0000-00003C020000}"/>
    <cellStyle name="Normal 6 2 3 3" xfId="577" xr:uid="{00000000-0005-0000-0000-00003D020000}"/>
    <cellStyle name="Normal 6 2 4" xfId="578" xr:uid="{00000000-0005-0000-0000-00003E020000}"/>
    <cellStyle name="Normal 6 2 4 2" xfId="579" xr:uid="{00000000-0005-0000-0000-00003F020000}"/>
    <cellStyle name="Normal 6 2 4 2 2" xfId="580" xr:uid="{00000000-0005-0000-0000-000040020000}"/>
    <cellStyle name="Normal 6 2 4 3" xfId="581" xr:uid="{00000000-0005-0000-0000-000041020000}"/>
    <cellStyle name="Normal 6 2 5" xfId="582" xr:uid="{00000000-0005-0000-0000-000042020000}"/>
    <cellStyle name="Normal 6 2 5 2" xfId="583" xr:uid="{00000000-0005-0000-0000-000043020000}"/>
    <cellStyle name="Normal 6 2 5 2 2" xfId="584" xr:uid="{00000000-0005-0000-0000-000044020000}"/>
    <cellStyle name="Normal 6 2 5 3" xfId="585" xr:uid="{00000000-0005-0000-0000-000045020000}"/>
    <cellStyle name="Normal 6 2 6" xfId="586" xr:uid="{00000000-0005-0000-0000-000046020000}"/>
    <cellStyle name="Normal 6 2 6 2" xfId="587" xr:uid="{00000000-0005-0000-0000-000047020000}"/>
    <cellStyle name="Normal 6 2 7" xfId="588" xr:uid="{00000000-0005-0000-0000-000048020000}"/>
    <cellStyle name="Normal 6 3" xfId="589" xr:uid="{00000000-0005-0000-0000-000049020000}"/>
    <cellStyle name="Normal 6 3 2" xfId="590" xr:uid="{00000000-0005-0000-0000-00004A020000}"/>
    <cellStyle name="Normal 6 3 2 2" xfId="591" xr:uid="{00000000-0005-0000-0000-00004B020000}"/>
    <cellStyle name="Normal 6 3 3" xfId="592" xr:uid="{00000000-0005-0000-0000-00004C020000}"/>
    <cellStyle name="Normal 6 4" xfId="593" xr:uid="{00000000-0005-0000-0000-00004D020000}"/>
    <cellStyle name="Normal 6 4 2" xfId="594" xr:uid="{00000000-0005-0000-0000-00004E020000}"/>
    <cellStyle name="Normal 6 4 2 2" xfId="595" xr:uid="{00000000-0005-0000-0000-00004F020000}"/>
    <cellStyle name="Normal 6 4 3" xfId="596" xr:uid="{00000000-0005-0000-0000-000050020000}"/>
    <cellStyle name="Normal 6 5" xfId="597" xr:uid="{00000000-0005-0000-0000-000051020000}"/>
    <cellStyle name="Normal 6 5 2" xfId="598" xr:uid="{00000000-0005-0000-0000-000052020000}"/>
    <cellStyle name="Normal 6 5 2 2" xfId="599" xr:uid="{00000000-0005-0000-0000-000053020000}"/>
    <cellStyle name="Normal 6 5 3" xfId="600" xr:uid="{00000000-0005-0000-0000-000054020000}"/>
    <cellStyle name="Normal 6 6" xfId="601" xr:uid="{00000000-0005-0000-0000-000055020000}"/>
    <cellStyle name="Normal 6 6 2" xfId="602" xr:uid="{00000000-0005-0000-0000-000056020000}"/>
    <cellStyle name="Normal 6 7" xfId="603" xr:uid="{00000000-0005-0000-0000-000057020000}"/>
    <cellStyle name="Normal 60" xfId="604" xr:uid="{00000000-0005-0000-0000-000058020000}"/>
    <cellStyle name="Normal 61" xfId="605" xr:uid="{00000000-0005-0000-0000-000059020000}"/>
    <cellStyle name="Normal 62" xfId="606" xr:uid="{00000000-0005-0000-0000-00005A020000}"/>
    <cellStyle name="Normal 63" xfId="962" xr:uid="{00000000-0005-0000-0000-00005B020000}"/>
    <cellStyle name="Normal 63 2" xfId="1086" xr:uid="{00000000-0005-0000-0000-00005C020000}"/>
    <cellStyle name="Normal 64" xfId="963" xr:uid="{00000000-0005-0000-0000-00005D020000}"/>
    <cellStyle name="Normal 65" xfId="964" xr:uid="{00000000-0005-0000-0000-00005E020000}"/>
    <cellStyle name="Normal 66" xfId="965" xr:uid="{00000000-0005-0000-0000-00005F020000}"/>
    <cellStyle name="Normal 67" xfId="966" xr:uid="{00000000-0005-0000-0000-000060020000}"/>
    <cellStyle name="Normal 68" xfId="982" xr:uid="{00000000-0005-0000-0000-000061020000}"/>
    <cellStyle name="Normal 68 2" xfId="1092" xr:uid="{00000000-0005-0000-0000-000062020000}"/>
    <cellStyle name="Normal 69" xfId="985" xr:uid="{00000000-0005-0000-0000-000063020000}"/>
    <cellStyle name="Normal 69 2" xfId="1093" xr:uid="{00000000-0005-0000-0000-000064020000}"/>
    <cellStyle name="Normal 7" xfId="607" xr:uid="{00000000-0005-0000-0000-000065020000}"/>
    <cellStyle name="Normal 70" xfId="987" xr:uid="{00000000-0005-0000-0000-000066020000}"/>
    <cellStyle name="Normal 70 2" xfId="1095" xr:uid="{00000000-0005-0000-0000-000067020000}"/>
    <cellStyle name="Normal 8" xfId="608" xr:uid="{00000000-0005-0000-0000-000068020000}"/>
    <cellStyle name="Normal 8 2" xfId="609" xr:uid="{00000000-0005-0000-0000-000069020000}"/>
    <cellStyle name="Normal 8 3" xfId="610" xr:uid="{00000000-0005-0000-0000-00006A020000}"/>
    <cellStyle name="Normal 8 4" xfId="611" xr:uid="{00000000-0005-0000-0000-00006B020000}"/>
    <cellStyle name="Normal 9" xfId="612" xr:uid="{00000000-0005-0000-0000-00006C020000}"/>
    <cellStyle name="Normal 9 10" xfId="613" xr:uid="{00000000-0005-0000-0000-00006D020000}"/>
    <cellStyle name="Normal 9 11" xfId="614" xr:uid="{00000000-0005-0000-0000-00006E020000}"/>
    <cellStyle name="Normal 9 12" xfId="615" xr:uid="{00000000-0005-0000-0000-00006F020000}"/>
    <cellStyle name="Normal 9 13" xfId="616" xr:uid="{00000000-0005-0000-0000-000070020000}"/>
    <cellStyle name="Normal 9 14" xfId="617" xr:uid="{00000000-0005-0000-0000-000071020000}"/>
    <cellStyle name="Normal 9 15" xfId="618" xr:uid="{00000000-0005-0000-0000-000072020000}"/>
    <cellStyle name="Normal 9 16" xfId="619" xr:uid="{00000000-0005-0000-0000-000073020000}"/>
    <cellStyle name="Normal 9 17" xfId="620" xr:uid="{00000000-0005-0000-0000-000074020000}"/>
    <cellStyle name="Normal 9 18" xfId="621" xr:uid="{00000000-0005-0000-0000-000075020000}"/>
    <cellStyle name="Normal 9 19" xfId="961" xr:uid="{00000000-0005-0000-0000-000076020000}"/>
    <cellStyle name="Normal 9 2" xfId="622" xr:uid="{00000000-0005-0000-0000-000077020000}"/>
    <cellStyle name="Normal 9 2 2" xfId="623" xr:uid="{00000000-0005-0000-0000-000078020000}"/>
    <cellStyle name="Normal 9 2 2 2" xfId="624" xr:uid="{00000000-0005-0000-0000-000079020000}"/>
    <cellStyle name="Normal 9 2 2 2 2" xfId="625" xr:uid="{00000000-0005-0000-0000-00007A020000}"/>
    <cellStyle name="Normal 9 2 2 3" xfId="626" xr:uid="{00000000-0005-0000-0000-00007B020000}"/>
    <cellStyle name="Normal 9 2 3" xfId="627" xr:uid="{00000000-0005-0000-0000-00007C020000}"/>
    <cellStyle name="Normal 9 2 3 2" xfId="628" xr:uid="{00000000-0005-0000-0000-00007D020000}"/>
    <cellStyle name="Normal 9 2 3 2 2" xfId="629" xr:uid="{00000000-0005-0000-0000-00007E020000}"/>
    <cellStyle name="Normal 9 2 3 3" xfId="630" xr:uid="{00000000-0005-0000-0000-00007F020000}"/>
    <cellStyle name="Normal 9 2 4" xfId="631" xr:uid="{00000000-0005-0000-0000-000080020000}"/>
    <cellStyle name="Normal 9 2 4 2" xfId="632" xr:uid="{00000000-0005-0000-0000-000081020000}"/>
    <cellStyle name="Normal 9 2 4 2 2" xfId="633" xr:uid="{00000000-0005-0000-0000-000082020000}"/>
    <cellStyle name="Normal 9 2 4 3" xfId="634" xr:uid="{00000000-0005-0000-0000-000083020000}"/>
    <cellStyle name="Normal 9 2 5" xfId="635" xr:uid="{00000000-0005-0000-0000-000084020000}"/>
    <cellStyle name="Normal 9 2 5 2" xfId="636" xr:uid="{00000000-0005-0000-0000-000085020000}"/>
    <cellStyle name="Normal 9 2 6" xfId="637" xr:uid="{00000000-0005-0000-0000-000086020000}"/>
    <cellStyle name="Normal 9 20" xfId="967" xr:uid="{00000000-0005-0000-0000-000087020000}"/>
    <cellStyle name="Normal 9 21" xfId="968" xr:uid="{00000000-0005-0000-0000-000088020000}"/>
    <cellStyle name="Normal 9 22" xfId="969" xr:uid="{00000000-0005-0000-0000-000089020000}"/>
    <cellStyle name="Normal 9 23" xfId="970" xr:uid="{00000000-0005-0000-0000-00008A020000}"/>
    <cellStyle name="Normal 9 24" xfId="971" xr:uid="{00000000-0005-0000-0000-00008B020000}"/>
    <cellStyle name="Normal 9 3" xfId="638" xr:uid="{00000000-0005-0000-0000-00008C020000}"/>
    <cellStyle name="Normal 9 3 2" xfId="639" xr:uid="{00000000-0005-0000-0000-00008D020000}"/>
    <cellStyle name="Normal 9 3 2 2" xfId="640" xr:uid="{00000000-0005-0000-0000-00008E020000}"/>
    <cellStyle name="Normal 9 3 3" xfId="641" xr:uid="{00000000-0005-0000-0000-00008F020000}"/>
    <cellStyle name="Normal 9 4" xfId="642" xr:uid="{00000000-0005-0000-0000-000090020000}"/>
    <cellStyle name="Normal 9 4 2" xfId="643" xr:uid="{00000000-0005-0000-0000-000091020000}"/>
    <cellStyle name="Normal 9 4 2 2" xfId="644" xr:uid="{00000000-0005-0000-0000-000092020000}"/>
    <cellStyle name="Normal 9 4 3" xfId="645" xr:uid="{00000000-0005-0000-0000-000093020000}"/>
    <cellStyle name="Normal 9 5" xfId="646" xr:uid="{00000000-0005-0000-0000-000094020000}"/>
    <cellStyle name="Normal 9 5 2" xfId="647" xr:uid="{00000000-0005-0000-0000-000095020000}"/>
    <cellStyle name="Normal 9 5 2 2" xfId="648" xr:uid="{00000000-0005-0000-0000-000096020000}"/>
    <cellStyle name="Normal 9 5 3" xfId="649" xr:uid="{00000000-0005-0000-0000-000097020000}"/>
    <cellStyle name="Normal 9 6" xfId="650" xr:uid="{00000000-0005-0000-0000-000098020000}"/>
    <cellStyle name="Normal 9 6 2" xfId="651" xr:uid="{00000000-0005-0000-0000-000099020000}"/>
    <cellStyle name="Normal 9 6 2 2" xfId="652" xr:uid="{00000000-0005-0000-0000-00009A020000}"/>
    <cellStyle name="Normal 9 6 3" xfId="653" xr:uid="{00000000-0005-0000-0000-00009B020000}"/>
    <cellStyle name="Normal 9 7" xfId="654" xr:uid="{00000000-0005-0000-0000-00009C020000}"/>
    <cellStyle name="Normal 9 7 2" xfId="655" xr:uid="{00000000-0005-0000-0000-00009D020000}"/>
    <cellStyle name="Normal 9 8" xfId="656" xr:uid="{00000000-0005-0000-0000-00009E020000}"/>
    <cellStyle name="Normal 9 8 2" xfId="657" xr:uid="{00000000-0005-0000-0000-00009F020000}"/>
    <cellStyle name="Normal 9 9" xfId="658" xr:uid="{00000000-0005-0000-0000-0000A0020000}"/>
    <cellStyle name="Normal 9 9 2" xfId="659" xr:uid="{00000000-0005-0000-0000-0000A1020000}"/>
    <cellStyle name="Normal_Book" xfId="983" xr:uid="{00000000-0005-0000-0000-0000A2020000}"/>
    <cellStyle name="Normal_Book 2" xfId="984" xr:uid="{00000000-0005-0000-0000-0000A3020000}"/>
    <cellStyle name="normal1" xfId="660" xr:uid="{00000000-0005-0000-0000-0000A4020000}"/>
    <cellStyle name="Nota 2" xfId="661" xr:uid="{00000000-0005-0000-0000-0000A5020000}"/>
    <cellStyle name="Nota 2 2" xfId="662" xr:uid="{00000000-0005-0000-0000-0000A6020000}"/>
    <cellStyle name="Nota 3" xfId="663" xr:uid="{00000000-0005-0000-0000-0000A7020000}"/>
    <cellStyle name="Nota 3 2" xfId="664" xr:uid="{00000000-0005-0000-0000-0000A8020000}"/>
    <cellStyle name="Nota 4" xfId="665" xr:uid="{00000000-0005-0000-0000-0000A9020000}"/>
    <cellStyle name="Nota 4 2" xfId="666" xr:uid="{00000000-0005-0000-0000-0000AA020000}"/>
    <cellStyle name="Note" xfId="667" xr:uid="{00000000-0005-0000-0000-0000AB020000}"/>
    <cellStyle name="Note 2" xfId="668" xr:uid="{00000000-0005-0000-0000-0000AC020000}"/>
    <cellStyle name="Output" xfId="669" xr:uid="{00000000-0005-0000-0000-0000AD020000}"/>
    <cellStyle name="Output 2" xfId="670" xr:uid="{00000000-0005-0000-0000-0000AE020000}"/>
    <cellStyle name="Pagina" xfId="671" xr:uid="{00000000-0005-0000-0000-0000AF020000}"/>
    <cellStyle name="Pagina 2" xfId="672" xr:uid="{00000000-0005-0000-0000-0000B0020000}"/>
    <cellStyle name="Pagina 3" xfId="673" xr:uid="{00000000-0005-0000-0000-0000B1020000}"/>
    <cellStyle name="Pagina 4" xfId="674" xr:uid="{00000000-0005-0000-0000-0000B2020000}"/>
    <cellStyle name="Percent [0]" xfId="675" xr:uid="{00000000-0005-0000-0000-0000B3020000}"/>
    <cellStyle name="Percent [0] 2" xfId="676" xr:uid="{00000000-0005-0000-0000-0000B4020000}"/>
    <cellStyle name="Percent [00]" xfId="677" xr:uid="{00000000-0005-0000-0000-0000B5020000}"/>
    <cellStyle name="Percent [00] 2" xfId="678" xr:uid="{00000000-0005-0000-0000-0000B6020000}"/>
    <cellStyle name="Percent [2]" xfId="679" xr:uid="{00000000-0005-0000-0000-0000B7020000}"/>
    <cellStyle name="Percent [2] 2" xfId="680" xr:uid="{00000000-0005-0000-0000-0000B8020000}"/>
    <cellStyle name="Percent_Emily" xfId="681" xr:uid="{00000000-0005-0000-0000-0000B9020000}"/>
    <cellStyle name="Porcentagem" xfId="2" builtinId="5"/>
    <cellStyle name="Porcentagem 10" xfId="682" xr:uid="{00000000-0005-0000-0000-0000BB020000}"/>
    <cellStyle name="Porcentagem 10 2" xfId="683" xr:uid="{00000000-0005-0000-0000-0000BC020000}"/>
    <cellStyle name="Porcentagem 11" xfId="684" xr:uid="{00000000-0005-0000-0000-0000BD020000}"/>
    <cellStyle name="Porcentagem 11 2" xfId="685" xr:uid="{00000000-0005-0000-0000-0000BE020000}"/>
    <cellStyle name="Porcentagem 12" xfId="686" xr:uid="{00000000-0005-0000-0000-0000BF020000}"/>
    <cellStyle name="Porcentagem 12 2" xfId="687" xr:uid="{00000000-0005-0000-0000-0000C0020000}"/>
    <cellStyle name="Porcentagem 13" xfId="688" xr:uid="{00000000-0005-0000-0000-0000C1020000}"/>
    <cellStyle name="Porcentagem 13 2" xfId="689" xr:uid="{00000000-0005-0000-0000-0000C2020000}"/>
    <cellStyle name="Porcentagem 14" xfId="690" xr:uid="{00000000-0005-0000-0000-0000C3020000}"/>
    <cellStyle name="Porcentagem 14 2" xfId="691" xr:uid="{00000000-0005-0000-0000-0000C4020000}"/>
    <cellStyle name="Porcentagem 15" xfId="692" xr:uid="{00000000-0005-0000-0000-0000C5020000}"/>
    <cellStyle name="Porcentagem 16" xfId="693" xr:uid="{00000000-0005-0000-0000-0000C6020000}"/>
    <cellStyle name="Porcentagem 17" xfId="694" xr:uid="{00000000-0005-0000-0000-0000C7020000}"/>
    <cellStyle name="Porcentagem 18" xfId="695" xr:uid="{00000000-0005-0000-0000-0000C8020000}"/>
    <cellStyle name="Porcentagem 19" xfId="696" xr:uid="{00000000-0005-0000-0000-0000C9020000}"/>
    <cellStyle name="Porcentagem 2" xfId="5" xr:uid="{00000000-0005-0000-0000-0000CA020000}"/>
    <cellStyle name="Porcentagem 2 2" xfId="697" xr:uid="{00000000-0005-0000-0000-0000CB020000}"/>
    <cellStyle name="Porcentagem 2 3" xfId="698" xr:uid="{00000000-0005-0000-0000-0000CC020000}"/>
    <cellStyle name="Porcentagem 2 3 2" xfId="699" xr:uid="{00000000-0005-0000-0000-0000CD020000}"/>
    <cellStyle name="Porcentagem 20" xfId="700" xr:uid="{00000000-0005-0000-0000-0000CE020000}"/>
    <cellStyle name="Porcentagem 21" xfId="701" xr:uid="{00000000-0005-0000-0000-0000CF020000}"/>
    <cellStyle name="Porcentagem 22" xfId="702" xr:uid="{00000000-0005-0000-0000-0000D0020000}"/>
    <cellStyle name="Porcentagem 23" xfId="703" xr:uid="{00000000-0005-0000-0000-0000D1020000}"/>
    <cellStyle name="Porcentagem 24" xfId="704" xr:uid="{00000000-0005-0000-0000-0000D2020000}"/>
    <cellStyle name="Porcentagem 25" xfId="705" xr:uid="{00000000-0005-0000-0000-0000D3020000}"/>
    <cellStyle name="Porcentagem 26" xfId="706" xr:uid="{00000000-0005-0000-0000-0000D4020000}"/>
    <cellStyle name="Porcentagem 27" xfId="707" xr:uid="{00000000-0005-0000-0000-0000D5020000}"/>
    <cellStyle name="Porcentagem 28" xfId="972" xr:uid="{00000000-0005-0000-0000-0000D6020000}"/>
    <cellStyle name="Porcentagem 29" xfId="973" xr:uid="{00000000-0005-0000-0000-0000D7020000}"/>
    <cellStyle name="Porcentagem 3" xfId="708" xr:uid="{00000000-0005-0000-0000-0000D8020000}"/>
    <cellStyle name="Porcentagem 3 2" xfId="709" xr:uid="{00000000-0005-0000-0000-0000D9020000}"/>
    <cellStyle name="Porcentagem 3 3" xfId="710" xr:uid="{00000000-0005-0000-0000-0000DA020000}"/>
    <cellStyle name="Porcentagem 3 4" xfId="711" xr:uid="{00000000-0005-0000-0000-0000DB020000}"/>
    <cellStyle name="Porcentagem 30" xfId="974" xr:uid="{00000000-0005-0000-0000-0000DC020000}"/>
    <cellStyle name="Porcentagem 31" xfId="975" xr:uid="{00000000-0005-0000-0000-0000DD020000}"/>
    <cellStyle name="Porcentagem 32" xfId="976" xr:uid="{00000000-0005-0000-0000-0000DE020000}"/>
    <cellStyle name="Porcentagem 4" xfId="712" xr:uid="{00000000-0005-0000-0000-0000DF020000}"/>
    <cellStyle name="Porcentagem 4 2" xfId="713" xr:uid="{00000000-0005-0000-0000-0000E0020000}"/>
    <cellStyle name="Porcentagem 4 3" xfId="714" xr:uid="{00000000-0005-0000-0000-0000E1020000}"/>
    <cellStyle name="Porcentagem 4 4" xfId="715" xr:uid="{00000000-0005-0000-0000-0000E2020000}"/>
    <cellStyle name="Porcentagem 5" xfId="716" xr:uid="{00000000-0005-0000-0000-0000E3020000}"/>
    <cellStyle name="Porcentagem 5 2" xfId="717" xr:uid="{00000000-0005-0000-0000-0000E4020000}"/>
    <cellStyle name="Porcentagem 5 3" xfId="718" xr:uid="{00000000-0005-0000-0000-0000E5020000}"/>
    <cellStyle name="Porcentagem 5 4" xfId="719" xr:uid="{00000000-0005-0000-0000-0000E6020000}"/>
    <cellStyle name="Porcentagem 6" xfId="720" xr:uid="{00000000-0005-0000-0000-0000E7020000}"/>
    <cellStyle name="Porcentagem 7" xfId="721" xr:uid="{00000000-0005-0000-0000-0000E8020000}"/>
    <cellStyle name="Porcentagem 7 2" xfId="722" xr:uid="{00000000-0005-0000-0000-0000E9020000}"/>
    <cellStyle name="Porcentagem 7 2 2" xfId="723" xr:uid="{00000000-0005-0000-0000-0000EA020000}"/>
    <cellStyle name="Porcentagem 7 2 2 2" xfId="724" xr:uid="{00000000-0005-0000-0000-0000EB020000}"/>
    <cellStyle name="Porcentagem 7 2 3" xfId="725" xr:uid="{00000000-0005-0000-0000-0000EC020000}"/>
    <cellStyle name="Porcentagem 7 3" xfId="726" xr:uid="{00000000-0005-0000-0000-0000ED020000}"/>
    <cellStyle name="Porcentagem 7 3 2" xfId="727" xr:uid="{00000000-0005-0000-0000-0000EE020000}"/>
    <cellStyle name="Porcentagem 7 3 2 2" xfId="728" xr:uid="{00000000-0005-0000-0000-0000EF020000}"/>
    <cellStyle name="Porcentagem 7 3 3" xfId="729" xr:uid="{00000000-0005-0000-0000-0000F0020000}"/>
    <cellStyle name="Porcentagem 7 4" xfId="730" xr:uid="{00000000-0005-0000-0000-0000F1020000}"/>
    <cellStyle name="Porcentagem 7 4 2" xfId="731" xr:uid="{00000000-0005-0000-0000-0000F2020000}"/>
    <cellStyle name="Porcentagem 7 4 2 2" xfId="732" xr:uid="{00000000-0005-0000-0000-0000F3020000}"/>
    <cellStyle name="Porcentagem 7 4 3" xfId="733" xr:uid="{00000000-0005-0000-0000-0000F4020000}"/>
    <cellStyle name="Porcentagem 7 5" xfId="734" xr:uid="{00000000-0005-0000-0000-0000F5020000}"/>
    <cellStyle name="Porcentagem 7 5 2" xfId="735" xr:uid="{00000000-0005-0000-0000-0000F6020000}"/>
    <cellStyle name="Porcentagem 7 6" xfId="736" xr:uid="{00000000-0005-0000-0000-0000F7020000}"/>
    <cellStyle name="Porcentagem 8" xfId="737" xr:uid="{00000000-0005-0000-0000-0000F8020000}"/>
    <cellStyle name="Porcentagem 8 2" xfId="738" xr:uid="{00000000-0005-0000-0000-0000F9020000}"/>
    <cellStyle name="Porcentagem 8 2 2" xfId="739" xr:uid="{00000000-0005-0000-0000-0000FA020000}"/>
    <cellStyle name="Porcentagem 8 2 2 2" xfId="740" xr:uid="{00000000-0005-0000-0000-0000FB020000}"/>
    <cellStyle name="Porcentagem 8 2 3" xfId="741" xr:uid="{00000000-0005-0000-0000-0000FC020000}"/>
    <cellStyle name="Porcentagem 8 3" xfId="742" xr:uid="{00000000-0005-0000-0000-0000FD020000}"/>
    <cellStyle name="Porcentagem 8 3 2" xfId="743" xr:uid="{00000000-0005-0000-0000-0000FE020000}"/>
    <cellStyle name="Porcentagem 8 3 2 2" xfId="744" xr:uid="{00000000-0005-0000-0000-0000FF020000}"/>
    <cellStyle name="Porcentagem 8 3 3" xfId="745" xr:uid="{00000000-0005-0000-0000-000000030000}"/>
    <cellStyle name="Porcentagem 8 4" xfId="746" xr:uid="{00000000-0005-0000-0000-000001030000}"/>
    <cellStyle name="Porcentagem 8 4 2" xfId="747" xr:uid="{00000000-0005-0000-0000-000002030000}"/>
    <cellStyle name="Porcentagem 8 4 2 2" xfId="748" xr:uid="{00000000-0005-0000-0000-000003030000}"/>
    <cellStyle name="Porcentagem 8 4 3" xfId="749" xr:uid="{00000000-0005-0000-0000-000004030000}"/>
    <cellStyle name="Porcentagem 8 5" xfId="750" xr:uid="{00000000-0005-0000-0000-000005030000}"/>
    <cellStyle name="Porcentagem 8 5 2" xfId="751" xr:uid="{00000000-0005-0000-0000-000006030000}"/>
    <cellStyle name="Porcentagem 8 6" xfId="752" xr:uid="{00000000-0005-0000-0000-000007030000}"/>
    <cellStyle name="Porcentagem 8 6 2" xfId="753" xr:uid="{00000000-0005-0000-0000-000008030000}"/>
    <cellStyle name="Porcentagem 8 6 2 2" xfId="754" xr:uid="{00000000-0005-0000-0000-000009030000}"/>
    <cellStyle name="Porcentagem 8 6 3" xfId="755" xr:uid="{00000000-0005-0000-0000-00000A030000}"/>
    <cellStyle name="Porcentagem 8 7" xfId="756" xr:uid="{00000000-0005-0000-0000-00000B030000}"/>
    <cellStyle name="Porcentagem 9" xfId="757" xr:uid="{00000000-0005-0000-0000-00000C030000}"/>
    <cellStyle name="Porcentagem%" xfId="758" xr:uid="{00000000-0005-0000-0000-00000D030000}"/>
    <cellStyle name="Porcentaje" xfId="759" xr:uid="{00000000-0005-0000-0000-00000E030000}"/>
    <cellStyle name="PrePop Currency (0)" xfId="760" xr:uid="{00000000-0005-0000-0000-00000F030000}"/>
    <cellStyle name="PrePop Currency (0) 2" xfId="761" xr:uid="{00000000-0005-0000-0000-000010030000}"/>
    <cellStyle name="PrePop Currency (2)" xfId="762" xr:uid="{00000000-0005-0000-0000-000011030000}"/>
    <cellStyle name="PrePop Currency (2) 2" xfId="763" xr:uid="{00000000-0005-0000-0000-000012030000}"/>
    <cellStyle name="PrePop Units (0)" xfId="764" xr:uid="{00000000-0005-0000-0000-000013030000}"/>
    <cellStyle name="PrePop Units (0) 2" xfId="765" xr:uid="{00000000-0005-0000-0000-000014030000}"/>
    <cellStyle name="PrePop Units (1)" xfId="766" xr:uid="{00000000-0005-0000-0000-000015030000}"/>
    <cellStyle name="PrePop Units (1) 2" xfId="767" xr:uid="{00000000-0005-0000-0000-000016030000}"/>
    <cellStyle name="PrePop Units (2)" xfId="768" xr:uid="{00000000-0005-0000-0000-000017030000}"/>
    <cellStyle name="PrePop Units (2) 2" xfId="769" xr:uid="{00000000-0005-0000-0000-000018030000}"/>
    <cellStyle name="RevList" xfId="770" xr:uid="{00000000-0005-0000-0000-000019030000}"/>
    <cellStyle name="RevList 2" xfId="771" xr:uid="{00000000-0005-0000-0000-00001A030000}"/>
    <cellStyle name="RM" xfId="772" xr:uid="{00000000-0005-0000-0000-00001B030000}"/>
    <cellStyle name="rodape" xfId="773" xr:uid="{00000000-0005-0000-0000-00001C030000}"/>
    <cellStyle name="Saída 2" xfId="774" xr:uid="{00000000-0005-0000-0000-00001D030000}"/>
    <cellStyle name="Saída 2 2" xfId="775" xr:uid="{00000000-0005-0000-0000-00001E030000}"/>
    <cellStyle name="Saída 3" xfId="776" xr:uid="{00000000-0005-0000-0000-00001F030000}"/>
    <cellStyle name="Saída 3 2" xfId="777" xr:uid="{00000000-0005-0000-0000-000020030000}"/>
    <cellStyle name="Saída 4" xfId="778" xr:uid="{00000000-0005-0000-0000-000021030000}"/>
    <cellStyle name="Saída 4 2" xfId="779" xr:uid="{00000000-0005-0000-0000-000022030000}"/>
    <cellStyle name="Sep. milhar [0]" xfId="780" xr:uid="{00000000-0005-0000-0000-000023030000}"/>
    <cellStyle name="Sep. milhar [0] 2" xfId="781" xr:uid="{00000000-0005-0000-0000-000024030000}"/>
    <cellStyle name="Separador de m" xfId="782" xr:uid="{00000000-0005-0000-0000-000025030000}"/>
    <cellStyle name="Separador de milhares 10" xfId="783" xr:uid="{00000000-0005-0000-0000-000026030000}"/>
    <cellStyle name="Separador de milhares 10 2" xfId="784" xr:uid="{00000000-0005-0000-0000-000027030000}"/>
    <cellStyle name="Separador de milhares 10 2 2" xfId="993" xr:uid="{00000000-0005-0000-0000-000028030000}"/>
    <cellStyle name="Separador de milhares 10 3" xfId="992" xr:uid="{00000000-0005-0000-0000-000029030000}"/>
    <cellStyle name="Separador de milhares 11" xfId="785" xr:uid="{00000000-0005-0000-0000-00002A030000}"/>
    <cellStyle name="Separador de milhares 11 2" xfId="786" xr:uid="{00000000-0005-0000-0000-00002B030000}"/>
    <cellStyle name="Separador de milhares 11 2 2" xfId="995" xr:uid="{00000000-0005-0000-0000-00002C030000}"/>
    <cellStyle name="Separador de milhares 11 3" xfId="994" xr:uid="{00000000-0005-0000-0000-00002D030000}"/>
    <cellStyle name="Separador de milhares 12" xfId="787" xr:uid="{00000000-0005-0000-0000-00002E030000}"/>
    <cellStyle name="Separador de milhares 12 2" xfId="788" xr:uid="{00000000-0005-0000-0000-00002F030000}"/>
    <cellStyle name="Separador de milhares 12 2 2" xfId="997" xr:uid="{00000000-0005-0000-0000-000030030000}"/>
    <cellStyle name="Separador de milhares 12 3" xfId="996" xr:uid="{00000000-0005-0000-0000-000031030000}"/>
    <cellStyle name="Separador de milhares 13" xfId="789" xr:uid="{00000000-0005-0000-0000-000032030000}"/>
    <cellStyle name="Separador de milhares 13 2" xfId="790" xr:uid="{00000000-0005-0000-0000-000033030000}"/>
    <cellStyle name="Separador de milhares 13 2 2" xfId="999" xr:uid="{00000000-0005-0000-0000-000034030000}"/>
    <cellStyle name="Separador de milhares 13 3" xfId="998" xr:uid="{00000000-0005-0000-0000-000035030000}"/>
    <cellStyle name="Separador de milhares 14" xfId="791" xr:uid="{00000000-0005-0000-0000-000036030000}"/>
    <cellStyle name="Separador de milhares 14 2" xfId="792" xr:uid="{00000000-0005-0000-0000-000037030000}"/>
    <cellStyle name="Separador de milhares 14 2 2" xfId="1001" xr:uid="{00000000-0005-0000-0000-000038030000}"/>
    <cellStyle name="Separador de milhares 14 3" xfId="1000" xr:uid="{00000000-0005-0000-0000-000039030000}"/>
    <cellStyle name="Separador de milhares 15" xfId="793" xr:uid="{00000000-0005-0000-0000-00003A030000}"/>
    <cellStyle name="Separador de milhares 15 2" xfId="794" xr:uid="{00000000-0005-0000-0000-00003B030000}"/>
    <cellStyle name="Separador de milhares 15 2 2" xfId="1003" xr:uid="{00000000-0005-0000-0000-00003C030000}"/>
    <cellStyle name="Separador de milhares 15 3" xfId="1002" xr:uid="{00000000-0005-0000-0000-00003D030000}"/>
    <cellStyle name="Separador de milhares 16" xfId="795" xr:uid="{00000000-0005-0000-0000-00003E030000}"/>
    <cellStyle name="Separador de milhares 16 2" xfId="1004" xr:uid="{00000000-0005-0000-0000-00003F030000}"/>
    <cellStyle name="Separador de milhares 17" xfId="796" xr:uid="{00000000-0005-0000-0000-000040030000}"/>
    <cellStyle name="Separador de milhares 17 2" xfId="1005" xr:uid="{00000000-0005-0000-0000-000041030000}"/>
    <cellStyle name="Separador de milhares 18" xfId="797" xr:uid="{00000000-0005-0000-0000-000042030000}"/>
    <cellStyle name="Separador de milhares 18 2" xfId="1006" xr:uid="{00000000-0005-0000-0000-000043030000}"/>
    <cellStyle name="Separador de milhares 19" xfId="798" xr:uid="{00000000-0005-0000-0000-000044030000}"/>
    <cellStyle name="Separador de milhares 19 2" xfId="1007" xr:uid="{00000000-0005-0000-0000-000045030000}"/>
    <cellStyle name="Separador de milhares 2" xfId="4" xr:uid="{00000000-0005-0000-0000-000046030000}"/>
    <cellStyle name="Separador de milhares 2 2" xfId="799" xr:uid="{00000000-0005-0000-0000-000047030000}"/>
    <cellStyle name="Separador de milhares 2 3" xfId="800" xr:uid="{00000000-0005-0000-0000-000048030000}"/>
    <cellStyle name="Separador de milhares 2 3 2" xfId="801" xr:uid="{00000000-0005-0000-0000-000049030000}"/>
    <cellStyle name="Separador de milhares 2 3 2 2" xfId="1009" xr:uid="{00000000-0005-0000-0000-00004A030000}"/>
    <cellStyle name="Separador de milhares 2 3 3" xfId="1008" xr:uid="{00000000-0005-0000-0000-00004B030000}"/>
    <cellStyle name="Separador de milhares 2 4" xfId="989" xr:uid="{00000000-0005-0000-0000-00004C030000}"/>
    <cellStyle name="Separador de milhares 3" xfId="802" xr:uid="{00000000-0005-0000-0000-00004D030000}"/>
    <cellStyle name="Separador de milhares 3 2" xfId="803" xr:uid="{00000000-0005-0000-0000-00004E030000}"/>
    <cellStyle name="Separador de milhares 3 2 2" xfId="1011" xr:uid="{00000000-0005-0000-0000-00004F030000}"/>
    <cellStyle name="Separador de milhares 3 3" xfId="804" xr:uid="{00000000-0005-0000-0000-000050030000}"/>
    <cellStyle name="Separador de milhares 3 3 2" xfId="1012" xr:uid="{00000000-0005-0000-0000-000051030000}"/>
    <cellStyle name="Separador de milhares 3 4" xfId="805" xr:uid="{00000000-0005-0000-0000-000052030000}"/>
    <cellStyle name="Separador de milhares 3 4 2" xfId="1013" xr:uid="{00000000-0005-0000-0000-000053030000}"/>
    <cellStyle name="Separador de milhares 3 5" xfId="1010" xr:uid="{00000000-0005-0000-0000-000054030000}"/>
    <cellStyle name="Separador de milhares 4" xfId="7" xr:uid="{00000000-0005-0000-0000-000055030000}"/>
    <cellStyle name="Separador de milhares 4 2" xfId="806" xr:uid="{00000000-0005-0000-0000-000056030000}"/>
    <cellStyle name="Separador de milhares 4 2 2" xfId="807" xr:uid="{00000000-0005-0000-0000-000057030000}"/>
    <cellStyle name="Separador de milhares 4 2 2 2" xfId="1015" xr:uid="{00000000-0005-0000-0000-000058030000}"/>
    <cellStyle name="Separador de milhares 4 2 3" xfId="1014" xr:uid="{00000000-0005-0000-0000-000059030000}"/>
    <cellStyle name="Separador de milhares 4 3" xfId="990" xr:uid="{00000000-0005-0000-0000-00005A030000}"/>
    <cellStyle name="Separador de milhares 5" xfId="808" xr:uid="{00000000-0005-0000-0000-00005B030000}"/>
    <cellStyle name="Separador de milhares 5 2" xfId="809" xr:uid="{00000000-0005-0000-0000-00005C030000}"/>
    <cellStyle name="Separador de milhares 5 2 2" xfId="810" xr:uid="{00000000-0005-0000-0000-00005D030000}"/>
    <cellStyle name="Separador de milhares 5 2 2 2" xfId="811" xr:uid="{00000000-0005-0000-0000-00005E030000}"/>
    <cellStyle name="Separador de milhares 5 2 2 2 2" xfId="1019" xr:uid="{00000000-0005-0000-0000-00005F030000}"/>
    <cellStyle name="Separador de milhares 5 2 2 3" xfId="1018" xr:uid="{00000000-0005-0000-0000-000060030000}"/>
    <cellStyle name="Separador de milhares 5 2 3" xfId="812" xr:uid="{00000000-0005-0000-0000-000061030000}"/>
    <cellStyle name="Separador de milhares 5 2 3 2" xfId="1020" xr:uid="{00000000-0005-0000-0000-000062030000}"/>
    <cellStyle name="Separador de milhares 5 2 4" xfId="1017" xr:uid="{00000000-0005-0000-0000-000063030000}"/>
    <cellStyle name="Separador de milhares 5 3" xfId="813" xr:uid="{00000000-0005-0000-0000-000064030000}"/>
    <cellStyle name="Separador de milhares 5 3 2" xfId="814" xr:uid="{00000000-0005-0000-0000-000065030000}"/>
    <cellStyle name="Separador de milhares 5 3 2 2" xfId="815" xr:uid="{00000000-0005-0000-0000-000066030000}"/>
    <cellStyle name="Separador de milhares 5 3 2 2 2" xfId="1023" xr:uid="{00000000-0005-0000-0000-000067030000}"/>
    <cellStyle name="Separador de milhares 5 3 2 3" xfId="1022" xr:uid="{00000000-0005-0000-0000-000068030000}"/>
    <cellStyle name="Separador de milhares 5 3 3" xfId="816" xr:uid="{00000000-0005-0000-0000-000069030000}"/>
    <cellStyle name="Separador de milhares 5 3 3 2" xfId="1024" xr:uid="{00000000-0005-0000-0000-00006A030000}"/>
    <cellStyle name="Separador de milhares 5 3 4" xfId="1021" xr:uid="{00000000-0005-0000-0000-00006B030000}"/>
    <cellStyle name="Separador de milhares 5 4" xfId="817" xr:uid="{00000000-0005-0000-0000-00006C030000}"/>
    <cellStyle name="Separador de milhares 5 4 2" xfId="818" xr:uid="{00000000-0005-0000-0000-00006D030000}"/>
    <cellStyle name="Separador de milhares 5 4 2 2" xfId="819" xr:uid="{00000000-0005-0000-0000-00006E030000}"/>
    <cellStyle name="Separador de milhares 5 4 2 2 2" xfId="1027" xr:uid="{00000000-0005-0000-0000-00006F030000}"/>
    <cellStyle name="Separador de milhares 5 4 2 3" xfId="1026" xr:uid="{00000000-0005-0000-0000-000070030000}"/>
    <cellStyle name="Separador de milhares 5 4 3" xfId="820" xr:uid="{00000000-0005-0000-0000-000071030000}"/>
    <cellStyle name="Separador de milhares 5 4 3 2" xfId="1028" xr:uid="{00000000-0005-0000-0000-000072030000}"/>
    <cellStyle name="Separador de milhares 5 4 4" xfId="1025" xr:uid="{00000000-0005-0000-0000-000073030000}"/>
    <cellStyle name="Separador de milhares 5 5" xfId="821" xr:uid="{00000000-0005-0000-0000-000074030000}"/>
    <cellStyle name="Separador de milhares 5 5 2" xfId="822" xr:uid="{00000000-0005-0000-0000-000075030000}"/>
    <cellStyle name="Separador de milhares 5 5 2 2" xfId="1030" xr:uid="{00000000-0005-0000-0000-000076030000}"/>
    <cellStyle name="Separador de milhares 5 5 3" xfId="1029" xr:uid="{00000000-0005-0000-0000-000077030000}"/>
    <cellStyle name="Separador de milhares 5 6" xfId="823" xr:uid="{00000000-0005-0000-0000-000078030000}"/>
    <cellStyle name="Separador de milhares 5 6 2" xfId="1031" xr:uid="{00000000-0005-0000-0000-000079030000}"/>
    <cellStyle name="Separador de milhares 5 7" xfId="1016" xr:uid="{00000000-0005-0000-0000-00007A030000}"/>
    <cellStyle name="Separador de milhares 6" xfId="824" xr:uid="{00000000-0005-0000-0000-00007B030000}"/>
    <cellStyle name="Separador de milhares 6 2" xfId="825" xr:uid="{00000000-0005-0000-0000-00007C030000}"/>
    <cellStyle name="Separador de milhares 6 2 2" xfId="826" xr:uid="{00000000-0005-0000-0000-00007D030000}"/>
    <cellStyle name="Separador de milhares 6 2 2 2" xfId="827" xr:uid="{00000000-0005-0000-0000-00007E030000}"/>
    <cellStyle name="Separador de milhares 6 2 2 2 2" xfId="1035" xr:uid="{00000000-0005-0000-0000-00007F030000}"/>
    <cellStyle name="Separador de milhares 6 2 2 3" xfId="1034" xr:uid="{00000000-0005-0000-0000-000080030000}"/>
    <cellStyle name="Separador de milhares 6 2 3" xfId="828" xr:uid="{00000000-0005-0000-0000-000081030000}"/>
    <cellStyle name="Separador de milhares 6 2 3 2" xfId="1036" xr:uid="{00000000-0005-0000-0000-000082030000}"/>
    <cellStyle name="Separador de milhares 6 2 4" xfId="1033" xr:uid="{00000000-0005-0000-0000-000083030000}"/>
    <cellStyle name="Separador de milhares 6 3" xfId="829" xr:uid="{00000000-0005-0000-0000-000084030000}"/>
    <cellStyle name="Separador de milhares 6 3 2" xfId="830" xr:uid="{00000000-0005-0000-0000-000085030000}"/>
    <cellStyle name="Separador de milhares 6 3 2 2" xfId="831" xr:uid="{00000000-0005-0000-0000-000086030000}"/>
    <cellStyle name="Separador de milhares 6 3 2 2 2" xfId="1039" xr:uid="{00000000-0005-0000-0000-000087030000}"/>
    <cellStyle name="Separador de milhares 6 3 2 3" xfId="1038" xr:uid="{00000000-0005-0000-0000-000088030000}"/>
    <cellStyle name="Separador de milhares 6 3 3" xfId="832" xr:uid="{00000000-0005-0000-0000-000089030000}"/>
    <cellStyle name="Separador de milhares 6 3 3 2" xfId="1040" xr:uid="{00000000-0005-0000-0000-00008A030000}"/>
    <cellStyle name="Separador de milhares 6 3 4" xfId="1037" xr:uid="{00000000-0005-0000-0000-00008B030000}"/>
    <cellStyle name="Separador de milhares 6 4" xfId="833" xr:uid="{00000000-0005-0000-0000-00008C030000}"/>
    <cellStyle name="Separador de milhares 6 4 2" xfId="834" xr:uid="{00000000-0005-0000-0000-00008D030000}"/>
    <cellStyle name="Separador de milhares 6 4 2 2" xfId="835" xr:uid="{00000000-0005-0000-0000-00008E030000}"/>
    <cellStyle name="Separador de milhares 6 4 2 2 2" xfId="1043" xr:uid="{00000000-0005-0000-0000-00008F030000}"/>
    <cellStyle name="Separador de milhares 6 4 2 3" xfId="1042" xr:uid="{00000000-0005-0000-0000-000090030000}"/>
    <cellStyle name="Separador de milhares 6 4 3" xfId="836" xr:uid="{00000000-0005-0000-0000-000091030000}"/>
    <cellStyle name="Separador de milhares 6 4 3 2" xfId="1044" xr:uid="{00000000-0005-0000-0000-000092030000}"/>
    <cellStyle name="Separador de milhares 6 4 4" xfId="1041" xr:uid="{00000000-0005-0000-0000-000093030000}"/>
    <cellStyle name="Separador de milhares 6 5" xfId="837" xr:uid="{00000000-0005-0000-0000-000094030000}"/>
    <cellStyle name="Separador de milhares 6 5 2" xfId="838" xr:uid="{00000000-0005-0000-0000-000095030000}"/>
    <cellStyle name="Separador de milhares 6 5 2 2" xfId="1046" xr:uid="{00000000-0005-0000-0000-000096030000}"/>
    <cellStyle name="Separador de milhares 6 5 3" xfId="1045" xr:uid="{00000000-0005-0000-0000-000097030000}"/>
    <cellStyle name="Separador de milhares 6 6" xfId="839" xr:uid="{00000000-0005-0000-0000-000098030000}"/>
    <cellStyle name="Separador de milhares 6 6 2" xfId="840" xr:uid="{00000000-0005-0000-0000-000099030000}"/>
    <cellStyle name="Separador de milhares 6 6 2 2" xfId="1048" xr:uid="{00000000-0005-0000-0000-00009A030000}"/>
    <cellStyle name="Separador de milhares 6 6 3" xfId="1047" xr:uid="{00000000-0005-0000-0000-00009B030000}"/>
    <cellStyle name="Separador de milhares 6 7" xfId="841" xr:uid="{00000000-0005-0000-0000-00009C030000}"/>
    <cellStyle name="Separador de milhares 6 7 2" xfId="1049" xr:uid="{00000000-0005-0000-0000-00009D030000}"/>
    <cellStyle name="Separador de milhares 6 8" xfId="1032" xr:uid="{00000000-0005-0000-0000-00009E030000}"/>
    <cellStyle name="Separador de milhares 7" xfId="842" xr:uid="{00000000-0005-0000-0000-00009F030000}"/>
    <cellStyle name="Separador de milhares 7 2" xfId="843" xr:uid="{00000000-0005-0000-0000-0000A0030000}"/>
    <cellStyle name="Separador de milhares 7 2 2" xfId="844" xr:uid="{00000000-0005-0000-0000-0000A1030000}"/>
    <cellStyle name="Separador de milhares 7 2 2 2" xfId="845" xr:uid="{00000000-0005-0000-0000-0000A2030000}"/>
    <cellStyle name="Separador de milhares 7 2 2 2 2" xfId="1053" xr:uid="{00000000-0005-0000-0000-0000A3030000}"/>
    <cellStyle name="Separador de milhares 7 2 2 3" xfId="1052" xr:uid="{00000000-0005-0000-0000-0000A4030000}"/>
    <cellStyle name="Separador de milhares 7 2 3" xfId="846" xr:uid="{00000000-0005-0000-0000-0000A5030000}"/>
    <cellStyle name="Separador de milhares 7 2 3 2" xfId="1054" xr:uid="{00000000-0005-0000-0000-0000A6030000}"/>
    <cellStyle name="Separador de milhares 7 2 4" xfId="1051" xr:uid="{00000000-0005-0000-0000-0000A7030000}"/>
    <cellStyle name="Separador de milhares 7 3" xfId="847" xr:uid="{00000000-0005-0000-0000-0000A8030000}"/>
    <cellStyle name="Separador de milhares 7 3 2" xfId="848" xr:uid="{00000000-0005-0000-0000-0000A9030000}"/>
    <cellStyle name="Separador de milhares 7 3 2 2" xfId="849" xr:uid="{00000000-0005-0000-0000-0000AA030000}"/>
    <cellStyle name="Separador de milhares 7 3 2 2 2" xfId="1057" xr:uid="{00000000-0005-0000-0000-0000AB030000}"/>
    <cellStyle name="Separador de milhares 7 3 2 3" xfId="1056" xr:uid="{00000000-0005-0000-0000-0000AC030000}"/>
    <cellStyle name="Separador de milhares 7 3 3" xfId="850" xr:uid="{00000000-0005-0000-0000-0000AD030000}"/>
    <cellStyle name="Separador de milhares 7 3 3 2" xfId="1058" xr:uid="{00000000-0005-0000-0000-0000AE030000}"/>
    <cellStyle name="Separador de milhares 7 3 4" xfId="1055" xr:uid="{00000000-0005-0000-0000-0000AF030000}"/>
    <cellStyle name="Separador de milhares 7 4" xfId="851" xr:uid="{00000000-0005-0000-0000-0000B0030000}"/>
    <cellStyle name="Separador de milhares 7 4 2" xfId="852" xr:uid="{00000000-0005-0000-0000-0000B1030000}"/>
    <cellStyle name="Separador de milhares 7 4 2 2" xfId="853" xr:uid="{00000000-0005-0000-0000-0000B2030000}"/>
    <cellStyle name="Separador de milhares 7 4 2 2 2" xfId="1061" xr:uid="{00000000-0005-0000-0000-0000B3030000}"/>
    <cellStyle name="Separador de milhares 7 4 2 3" xfId="1060" xr:uid="{00000000-0005-0000-0000-0000B4030000}"/>
    <cellStyle name="Separador de milhares 7 4 3" xfId="854" xr:uid="{00000000-0005-0000-0000-0000B5030000}"/>
    <cellStyle name="Separador de milhares 7 4 3 2" xfId="1062" xr:uid="{00000000-0005-0000-0000-0000B6030000}"/>
    <cellStyle name="Separador de milhares 7 4 4" xfId="1059" xr:uid="{00000000-0005-0000-0000-0000B7030000}"/>
    <cellStyle name="Separador de milhares 7 5" xfId="855" xr:uid="{00000000-0005-0000-0000-0000B8030000}"/>
    <cellStyle name="Separador de milhares 7 5 2" xfId="856" xr:uid="{00000000-0005-0000-0000-0000B9030000}"/>
    <cellStyle name="Separador de milhares 7 5 2 2" xfId="1064" xr:uid="{00000000-0005-0000-0000-0000BA030000}"/>
    <cellStyle name="Separador de milhares 7 5 3" xfId="1063" xr:uid="{00000000-0005-0000-0000-0000BB030000}"/>
    <cellStyle name="Separador de milhares 7 6" xfId="857" xr:uid="{00000000-0005-0000-0000-0000BC030000}"/>
    <cellStyle name="Separador de milhares 7 6 2" xfId="1065" xr:uid="{00000000-0005-0000-0000-0000BD030000}"/>
    <cellStyle name="Separador de milhares 7 7" xfId="1050" xr:uid="{00000000-0005-0000-0000-0000BE030000}"/>
    <cellStyle name="Separador de milhares 8" xfId="858" xr:uid="{00000000-0005-0000-0000-0000BF030000}"/>
    <cellStyle name="Separador de milhares 8 2" xfId="859" xr:uid="{00000000-0005-0000-0000-0000C0030000}"/>
    <cellStyle name="Separador de milhares 8 2 2" xfId="860" xr:uid="{00000000-0005-0000-0000-0000C1030000}"/>
    <cellStyle name="Separador de milhares 8 2 2 2" xfId="861" xr:uid="{00000000-0005-0000-0000-0000C2030000}"/>
    <cellStyle name="Separador de milhares 8 2 2 2 2" xfId="1069" xr:uid="{00000000-0005-0000-0000-0000C3030000}"/>
    <cellStyle name="Separador de milhares 8 2 2 3" xfId="1068" xr:uid="{00000000-0005-0000-0000-0000C4030000}"/>
    <cellStyle name="Separador de milhares 8 2 3" xfId="862" xr:uid="{00000000-0005-0000-0000-0000C5030000}"/>
    <cellStyle name="Separador de milhares 8 2 3 2" xfId="1070" xr:uid="{00000000-0005-0000-0000-0000C6030000}"/>
    <cellStyle name="Separador de milhares 8 2 4" xfId="1067" xr:uid="{00000000-0005-0000-0000-0000C7030000}"/>
    <cellStyle name="Separador de milhares 8 3" xfId="1066" xr:uid="{00000000-0005-0000-0000-0000C8030000}"/>
    <cellStyle name="Separador de milhares 9" xfId="863" xr:uid="{00000000-0005-0000-0000-0000C9030000}"/>
    <cellStyle name="Separador de milhares 9 2" xfId="864" xr:uid="{00000000-0005-0000-0000-0000CA030000}"/>
    <cellStyle name="Separador de milhares 9 2 2" xfId="865" xr:uid="{00000000-0005-0000-0000-0000CB030000}"/>
    <cellStyle name="Separador de milhares 9 2 2 2" xfId="1073" xr:uid="{00000000-0005-0000-0000-0000CC030000}"/>
    <cellStyle name="Separador de milhares 9 2 3" xfId="1072" xr:uid="{00000000-0005-0000-0000-0000CD030000}"/>
    <cellStyle name="Separador de milhares 9 3" xfId="866" xr:uid="{00000000-0005-0000-0000-0000CE030000}"/>
    <cellStyle name="Separador de milhares 9 3 2" xfId="1074" xr:uid="{00000000-0005-0000-0000-0000CF030000}"/>
    <cellStyle name="Separador de milhares 9 4" xfId="1071" xr:uid="{00000000-0005-0000-0000-0000D0030000}"/>
    <cellStyle name="shading" xfId="867" xr:uid="{00000000-0005-0000-0000-0000D1030000}"/>
    <cellStyle name="shading 2" xfId="868" xr:uid="{00000000-0005-0000-0000-0000D2030000}"/>
    <cellStyle name="Sheet Title" xfId="869" xr:uid="{00000000-0005-0000-0000-0000D3030000}"/>
    <cellStyle name="Sheet Title 2" xfId="870" xr:uid="{00000000-0005-0000-0000-0000D4030000}"/>
    <cellStyle name="ssubtitulo" xfId="871" xr:uid="{00000000-0005-0000-0000-0000D5030000}"/>
    <cellStyle name="Standaard_laroux" xfId="872" xr:uid="{00000000-0005-0000-0000-0000D6030000}"/>
    <cellStyle name="Standard_Germany" xfId="873" xr:uid="{00000000-0005-0000-0000-0000D7030000}"/>
    <cellStyle name="subtitulo" xfId="874" xr:uid="{00000000-0005-0000-0000-0000D8030000}"/>
    <cellStyle name="Sub-Título" xfId="875" xr:uid="{00000000-0005-0000-0000-0000D9030000}"/>
    <cellStyle name="subtitulo 2" xfId="876" xr:uid="{00000000-0005-0000-0000-0000DA030000}"/>
    <cellStyle name="subtitulo 3" xfId="877" xr:uid="{00000000-0005-0000-0000-0000DB030000}"/>
    <cellStyle name="subtitulo 4" xfId="878" xr:uid="{00000000-0005-0000-0000-0000DC030000}"/>
    <cellStyle name="subtitulo 5" xfId="879" xr:uid="{00000000-0005-0000-0000-0000DD030000}"/>
    <cellStyle name="subtitulo_Book junho-2008" xfId="880" xr:uid="{00000000-0005-0000-0000-0000DE030000}"/>
    <cellStyle name="Subtotal" xfId="881" xr:uid="{00000000-0005-0000-0000-0000DF030000}"/>
    <cellStyle name="Subtotal 2" xfId="882" xr:uid="{00000000-0005-0000-0000-0000E0030000}"/>
    <cellStyle name="Text Indent A" xfId="883" xr:uid="{00000000-0005-0000-0000-0000E1030000}"/>
    <cellStyle name="Text Indent A 2" xfId="884" xr:uid="{00000000-0005-0000-0000-0000E2030000}"/>
    <cellStyle name="Text Indent B" xfId="885" xr:uid="{00000000-0005-0000-0000-0000E3030000}"/>
    <cellStyle name="Text Indent B 2" xfId="886" xr:uid="{00000000-0005-0000-0000-0000E4030000}"/>
    <cellStyle name="Text Indent C" xfId="887" xr:uid="{00000000-0005-0000-0000-0000E5030000}"/>
    <cellStyle name="Text Indent C 2" xfId="888" xr:uid="{00000000-0005-0000-0000-0000E6030000}"/>
    <cellStyle name="Texto de Aviso 2" xfId="889" xr:uid="{00000000-0005-0000-0000-0000E7030000}"/>
    <cellStyle name="Texto de Aviso 2 2" xfId="890" xr:uid="{00000000-0005-0000-0000-0000E8030000}"/>
    <cellStyle name="Texto de Aviso 3" xfId="891" xr:uid="{00000000-0005-0000-0000-0000E9030000}"/>
    <cellStyle name="Texto de Aviso 3 2" xfId="892" xr:uid="{00000000-0005-0000-0000-0000EA030000}"/>
    <cellStyle name="Texto de Aviso 4" xfId="893" xr:uid="{00000000-0005-0000-0000-0000EB030000}"/>
    <cellStyle name="Texto de Aviso 4 2" xfId="894" xr:uid="{00000000-0005-0000-0000-0000EC030000}"/>
    <cellStyle name="Texto Explicativo 2" xfId="895" xr:uid="{00000000-0005-0000-0000-0000ED030000}"/>
    <cellStyle name="Texto Explicativo 2 2" xfId="896" xr:uid="{00000000-0005-0000-0000-0000EE030000}"/>
    <cellStyle name="Texto Explicativo 3" xfId="897" xr:uid="{00000000-0005-0000-0000-0000EF030000}"/>
    <cellStyle name="Texto Explicativo 3 2" xfId="898" xr:uid="{00000000-0005-0000-0000-0000F0030000}"/>
    <cellStyle name="Texto Explicativo 4" xfId="899" xr:uid="{00000000-0005-0000-0000-0000F1030000}"/>
    <cellStyle name="Texto Explicativo 4 2" xfId="900" xr:uid="{00000000-0005-0000-0000-0000F2030000}"/>
    <cellStyle name="titulo" xfId="901" xr:uid="{00000000-0005-0000-0000-0000F3030000}"/>
    <cellStyle name="Título 1 2" xfId="902" xr:uid="{00000000-0005-0000-0000-0000F4030000}"/>
    <cellStyle name="Título 1 2 2" xfId="903" xr:uid="{00000000-0005-0000-0000-0000F5030000}"/>
    <cellStyle name="Título 1 3" xfId="904" xr:uid="{00000000-0005-0000-0000-0000F6030000}"/>
    <cellStyle name="Título 1 3 2" xfId="905" xr:uid="{00000000-0005-0000-0000-0000F7030000}"/>
    <cellStyle name="Título 1 4" xfId="906" xr:uid="{00000000-0005-0000-0000-0000F8030000}"/>
    <cellStyle name="Título 1 4 2" xfId="907" xr:uid="{00000000-0005-0000-0000-0000F9030000}"/>
    <cellStyle name="Título 2 2" xfId="908" xr:uid="{00000000-0005-0000-0000-0000FA030000}"/>
    <cellStyle name="Título 2 2 2" xfId="909" xr:uid="{00000000-0005-0000-0000-0000FB030000}"/>
    <cellStyle name="Título 2 3" xfId="910" xr:uid="{00000000-0005-0000-0000-0000FC030000}"/>
    <cellStyle name="Título 2 3 2" xfId="911" xr:uid="{00000000-0005-0000-0000-0000FD030000}"/>
    <cellStyle name="Título 2 4" xfId="912" xr:uid="{00000000-0005-0000-0000-0000FE030000}"/>
    <cellStyle name="Título 2 4 2" xfId="913" xr:uid="{00000000-0005-0000-0000-0000FF030000}"/>
    <cellStyle name="Título 3 2" xfId="914" xr:uid="{00000000-0005-0000-0000-000000040000}"/>
    <cellStyle name="Título 3 2 2" xfId="915" xr:uid="{00000000-0005-0000-0000-000001040000}"/>
    <cellStyle name="Título 3 3" xfId="916" xr:uid="{00000000-0005-0000-0000-000002040000}"/>
    <cellStyle name="Título 3 3 2" xfId="917" xr:uid="{00000000-0005-0000-0000-000003040000}"/>
    <cellStyle name="Título 3 4" xfId="918" xr:uid="{00000000-0005-0000-0000-000004040000}"/>
    <cellStyle name="Título 3 4 2" xfId="919" xr:uid="{00000000-0005-0000-0000-000005040000}"/>
    <cellStyle name="Título 4 2" xfId="920" xr:uid="{00000000-0005-0000-0000-000006040000}"/>
    <cellStyle name="Título 4 2 2" xfId="921" xr:uid="{00000000-0005-0000-0000-000007040000}"/>
    <cellStyle name="Título 4 3" xfId="922" xr:uid="{00000000-0005-0000-0000-000008040000}"/>
    <cellStyle name="Título 4 3 2" xfId="923" xr:uid="{00000000-0005-0000-0000-000009040000}"/>
    <cellStyle name="Título 4 4" xfId="924" xr:uid="{00000000-0005-0000-0000-00000A040000}"/>
    <cellStyle name="Título 4 4 2" xfId="925" xr:uid="{00000000-0005-0000-0000-00000B040000}"/>
    <cellStyle name="Título 5" xfId="926" xr:uid="{00000000-0005-0000-0000-00000C040000}"/>
    <cellStyle name="titulomov" xfId="927" xr:uid="{00000000-0005-0000-0000-00000D040000}"/>
    <cellStyle name="Todos" xfId="928" xr:uid="{00000000-0005-0000-0000-00000E040000}"/>
    <cellStyle name="Total 2" xfId="929" xr:uid="{00000000-0005-0000-0000-00000F040000}"/>
    <cellStyle name="Total 2 2" xfId="930" xr:uid="{00000000-0005-0000-0000-000010040000}"/>
    <cellStyle name="Total 3" xfId="931" xr:uid="{00000000-0005-0000-0000-000011040000}"/>
    <cellStyle name="Total 3 2" xfId="932" xr:uid="{00000000-0005-0000-0000-000012040000}"/>
    <cellStyle name="Total 4" xfId="933" xr:uid="{00000000-0005-0000-0000-000013040000}"/>
    <cellStyle name="Total 4 2" xfId="934" xr:uid="{00000000-0005-0000-0000-000014040000}"/>
    <cellStyle name="Total 5" xfId="935" xr:uid="{00000000-0005-0000-0000-000015040000}"/>
    <cellStyle name="totalbalan" xfId="936" xr:uid="{00000000-0005-0000-0000-000016040000}"/>
    <cellStyle name="Valuta [0]_laroux" xfId="937" xr:uid="{00000000-0005-0000-0000-000017040000}"/>
    <cellStyle name="Valuta_laroux" xfId="938" xr:uid="{00000000-0005-0000-0000-000018040000}"/>
    <cellStyle name="Vírgula" xfId="1" builtinId="3"/>
    <cellStyle name="Vírgula 10" xfId="939" xr:uid="{00000000-0005-0000-0000-00001A040000}"/>
    <cellStyle name="Vírgula 10 2" xfId="1075" xr:uid="{00000000-0005-0000-0000-00001B040000}"/>
    <cellStyle name="Vírgula 11" xfId="940" xr:uid="{00000000-0005-0000-0000-00001C040000}"/>
    <cellStyle name="Vírgula 11 2" xfId="1076" xr:uid="{00000000-0005-0000-0000-00001D040000}"/>
    <cellStyle name="Vírgula 12" xfId="941" xr:uid="{00000000-0005-0000-0000-00001E040000}"/>
    <cellStyle name="Vírgula 12 2" xfId="1077" xr:uid="{00000000-0005-0000-0000-00001F040000}"/>
    <cellStyle name="Vírgula 13" xfId="977" xr:uid="{00000000-0005-0000-0000-000020040000}"/>
    <cellStyle name="Vírgula 13 2" xfId="1087" xr:uid="{00000000-0005-0000-0000-000021040000}"/>
    <cellStyle name="Vírgula 14" xfId="978" xr:uid="{00000000-0005-0000-0000-000022040000}"/>
    <cellStyle name="Vírgula 14 2" xfId="1088" xr:uid="{00000000-0005-0000-0000-000023040000}"/>
    <cellStyle name="Vírgula 15" xfId="979" xr:uid="{00000000-0005-0000-0000-000024040000}"/>
    <cellStyle name="Vírgula 15 2" xfId="1089" xr:uid="{00000000-0005-0000-0000-000025040000}"/>
    <cellStyle name="Vírgula 16" xfId="980" xr:uid="{00000000-0005-0000-0000-000026040000}"/>
    <cellStyle name="Vírgula 16 2" xfId="1090" xr:uid="{00000000-0005-0000-0000-000027040000}"/>
    <cellStyle name="Vírgula 17" xfId="981" xr:uid="{00000000-0005-0000-0000-000028040000}"/>
    <cellStyle name="Vírgula 17 2" xfId="1091" xr:uid="{00000000-0005-0000-0000-000029040000}"/>
    <cellStyle name="Vírgula 18" xfId="988" xr:uid="{00000000-0005-0000-0000-00002A040000}"/>
    <cellStyle name="Vírgula 2" xfId="942" xr:uid="{00000000-0005-0000-0000-00002B040000}"/>
    <cellStyle name="Vírgula 2 2" xfId="986" xr:uid="{00000000-0005-0000-0000-00002C040000}"/>
    <cellStyle name="Vírgula 2 2 2" xfId="1094" xr:uid="{00000000-0005-0000-0000-00002D040000}"/>
    <cellStyle name="Vírgula 2 3" xfId="1078" xr:uid="{00000000-0005-0000-0000-00002E040000}"/>
    <cellStyle name="Vírgula 3" xfId="943" xr:uid="{00000000-0005-0000-0000-00002F040000}"/>
    <cellStyle name="Vírgula 3 2" xfId="1079" xr:uid="{00000000-0005-0000-0000-000030040000}"/>
    <cellStyle name="Vírgula 4" xfId="944" xr:uid="{00000000-0005-0000-0000-000031040000}"/>
    <cellStyle name="Vírgula 4 2" xfId="1080" xr:uid="{00000000-0005-0000-0000-000032040000}"/>
    <cellStyle name="Vírgula 5" xfId="945" xr:uid="{00000000-0005-0000-0000-000033040000}"/>
    <cellStyle name="Vírgula 5 2" xfId="1081" xr:uid="{00000000-0005-0000-0000-000034040000}"/>
    <cellStyle name="Vírgula 6" xfId="946" xr:uid="{00000000-0005-0000-0000-000035040000}"/>
    <cellStyle name="Vírgula 6 2" xfId="1082" xr:uid="{00000000-0005-0000-0000-000036040000}"/>
    <cellStyle name="Vírgula 7" xfId="947" xr:uid="{00000000-0005-0000-0000-000037040000}"/>
    <cellStyle name="Vírgula 7 2" xfId="1083" xr:uid="{00000000-0005-0000-0000-000038040000}"/>
    <cellStyle name="Vírgula 8" xfId="948" xr:uid="{00000000-0005-0000-0000-000039040000}"/>
    <cellStyle name="Vírgula 8 2" xfId="1084" xr:uid="{00000000-0005-0000-0000-00003A040000}"/>
    <cellStyle name="Vírgula 9" xfId="949" xr:uid="{00000000-0005-0000-0000-00003B040000}"/>
    <cellStyle name="Vírgula 9 2" xfId="1085" xr:uid="{00000000-0005-0000-0000-00003C040000}"/>
    <cellStyle name="Währung [0]_Germany" xfId="950" xr:uid="{00000000-0005-0000-0000-00003D040000}"/>
    <cellStyle name="Währung_Germany" xfId="951" xr:uid="{00000000-0005-0000-0000-00003E040000}"/>
    <cellStyle name="Warning Text" xfId="952" xr:uid="{00000000-0005-0000-0000-00003F040000}"/>
    <cellStyle name="Warning Text 2" xfId="953" xr:uid="{00000000-0005-0000-0000-000040040000}"/>
    <cellStyle name="ZERO" xfId="954" xr:uid="{00000000-0005-0000-0000-000041040000}"/>
    <cellStyle name="zero = - [0]" xfId="955" xr:uid="{00000000-0005-0000-0000-000042040000}"/>
    <cellStyle name="ZERO = - [1]" xfId="956" xr:uid="{00000000-0005-0000-0000-000043040000}"/>
    <cellStyle name="ZERO = [-]" xfId="957" xr:uid="{00000000-0005-0000-0000-000044040000}"/>
    <cellStyle name="ZERO_R15" xfId="958" xr:uid="{00000000-0005-0000-0000-000045040000}"/>
    <cellStyle name="彡佊乒䱁弱佊乒䱁ㄸ⤱⤲吠䱁Ⱓ⌣尰㬩⡟刢∤⁜" xfId="959" xr:uid="{00000000-0005-0000-0000-000046040000}"/>
    <cellStyle name="彡佊乒䱁弱佊乒䱁ㄸ⤱⤲吠䱁Ⱓ⌣尰㬩⡟刢∤⁜ 2" xfId="960" xr:uid="{00000000-0005-0000-0000-000047040000}"/>
  </cellStyles>
  <dxfs count="0"/>
  <tableStyles count="0" defaultTableStyle="TableStyleMedium9" defaultPivotStyle="PivotStyleLight16"/>
  <colors>
    <mruColors>
      <color rgb="FFFF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42334</xdr:colOff>
      <xdr:row>1</xdr:row>
      <xdr:rowOff>7963</xdr:rowOff>
    </xdr:to>
    <xdr:pic>
      <xdr:nvPicPr>
        <xdr:cNvPr id="3" name="Imagem 2" descr="cabecalho_grupo.jpg">
          <a:extLst>
            <a:ext uri="{FF2B5EF4-FFF2-40B4-BE49-F238E27FC236}">
              <a16:creationId xmlns:a16="http://schemas.microsoft.com/office/drawing/2014/main" id="{6D779071-ED5E-497F-8347-5E19348A2311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0" y="0"/>
          <a:ext cx="15350067" cy="11763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7056</xdr:rowOff>
    </xdr:from>
    <xdr:to>
      <xdr:col>8</xdr:col>
      <xdr:colOff>26651</xdr:colOff>
      <xdr:row>1</xdr:row>
      <xdr:rowOff>26106</xdr:rowOff>
    </xdr:to>
    <xdr:pic>
      <xdr:nvPicPr>
        <xdr:cNvPr id="2" name="Imagem 1" descr="cabecalho_grupo.jpg">
          <a:extLst>
            <a:ext uri="{FF2B5EF4-FFF2-40B4-BE49-F238E27FC236}">
              <a16:creationId xmlns:a16="http://schemas.microsoft.com/office/drawing/2014/main" id="{811A2059-ED03-4257-A40A-7D0C8CC9543E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21167" y="7056"/>
          <a:ext cx="7667817" cy="1162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201083</xdr:colOff>
      <xdr:row>0</xdr:row>
      <xdr:rowOff>1138827</xdr:rowOff>
    </xdr:to>
    <xdr:pic>
      <xdr:nvPicPr>
        <xdr:cNvPr id="2" name="Imagem 1" descr="cabecalho_grupo.jpg">
          <a:extLst>
            <a:ext uri="{FF2B5EF4-FFF2-40B4-BE49-F238E27FC236}">
              <a16:creationId xmlns:a16="http://schemas.microsoft.com/office/drawing/2014/main" id="{D0901E61-AB16-4B95-8DAC-5F6D454D768D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0" y="0"/>
          <a:ext cx="19903722" cy="11388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740833</xdr:colOff>
      <xdr:row>0</xdr:row>
      <xdr:rowOff>1485900</xdr:rowOff>
    </xdr:to>
    <xdr:pic>
      <xdr:nvPicPr>
        <xdr:cNvPr id="3" name="Imagem 2" descr="cabecalho_grupo.jpg">
          <a:extLst>
            <a:ext uri="{FF2B5EF4-FFF2-40B4-BE49-F238E27FC236}">
              <a16:creationId xmlns:a16="http://schemas.microsoft.com/office/drawing/2014/main" id="{61EFB253-3D9C-4732-8F56-491BBEFD2D10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0" y="0"/>
          <a:ext cx="15595985" cy="1485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c-fs01\Arquivos\Departamental\RI\RI\Resultados\2025\3TRI\DFs%2030-09-25_F.xlsx" TargetMode="External"/><Relationship Id="rId1" Type="http://schemas.openxmlformats.org/officeDocument/2006/relationships/externalLinkPath" Target="/Departamental/RI/RI/Resultados/2025/3TRI/DFs%2030-09-25_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P"/>
      <sheetName val="DRE"/>
      <sheetName val="Ajuste FECH5"/>
      <sheetName val="DMPL"/>
      <sheetName val="DFC"/>
      <sheetName val="DFC1"/>
      <sheetName val="DVA"/>
      <sheetName val="Movimentações"/>
      <sheetName val="TBE"/>
      <sheetName val="BD emprest"/>
      <sheetName val="TBIRCSL"/>
      <sheetName val="IRCSL"/>
      <sheetName val="Arrend"/>
      <sheetName val="ArrendLeas F"/>
      <sheetName val="Ajuste"/>
      <sheetName val="Planilha1"/>
    </sheetNames>
    <sheetDataSet>
      <sheetData sheetId="0">
        <row r="8">
          <cell r="G8">
            <v>69938</v>
          </cell>
          <cell r="P8">
            <v>49730</v>
          </cell>
        </row>
        <row r="9">
          <cell r="G9">
            <v>189309</v>
          </cell>
          <cell r="P9">
            <v>57679</v>
          </cell>
        </row>
        <row r="10">
          <cell r="P10">
            <v>169</v>
          </cell>
        </row>
        <row r="11">
          <cell r="G11">
            <v>183319</v>
          </cell>
          <cell r="P11">
            <v>4392</v>
          </cell>
        </row>
        <row r="12">
          <cell r="G12">
            <v>13320</v>
          </cell>
          <cell r="P12">
            <v>525</v>
          </cell>
        </row>
        <row r="13">
          <cell r="G13">
            <v>5569</v>
          </cell>
          <cell r="P13">
            <v>16889</v>
          </cell>
        </row>
        <row r="14">
          <cell r="P14">
            <v>140</v>
          </cell>
        </row>
        <row r="15">
          <cell r="G15">
            <v>197</v>
          </cell>
          <cell r="P15">
            <v>0</v>
          </cell>
        </row>
        <row r="16">
          <cell r="G16">
            <v>18060</v>
          </cell>
        </row>
        <row r="17">
          <cell r="P17">
            <v>5943</v>
          </cell>
        </row>
        <row r="18">
          <cell r="P18">
            <v>1428</v>
          </cell>
        </row>
        <row r="21">
          <cell r="P21">
            <v>10868</v>
          </cell>
        </row>
        <row r="24">
          <cell r="G24">
            <v>0</v>
          </cell>
        </row>
        <row r="25">
          <cell r="P25">
            <v>41098</v>
          </cell>
        </row>
        <row r="26">
          <cell r="P26">
            <v>31503</v>
          </cell>
        </row>
        <row r="27">
          <cell r="P27">
            <v>49645</v>
          </cell>
        </row>
        <row r="28">
          <cell r="P28">
            <v>1073</v>
          </cell>
        </row>
        <row r="33">
          <cell r="P33">
            <v>1200</v>
          </cell>
        </row>
        <row r="34">
          <cell r="P34">
            <v>1709</v>
          </cell>
        </row>
        <row r="35">
          <cell r="G35">
            <v>3332</v>
          </cell>
        </row>
        <row r="38">
          <cell r="G38">
            <v>10271</v>
          </cell>
        </row>
        <row r="42">
          <cell r="P42">
            <v>130583</v>
          </cell>
        </row>
        <row r="43">
          <cell r="P43">
            <v>-2754</v>
          </cell>
        </row>
        <row r="44">
          <cell r="P44">
            <v>-10870</v>
          </cell>
        </row>
        <row r="45">
          <cell r="P45">
            <v>120594</v>
          </cell>
        </row>
        <row r="46">
          <cell r="P46">
            <v>-14129</v>
          </cell>
        </row>
        <row r="47">
          <cell r="G47">
            <v>191966</v>
          </cell>
          <cell r="P47">
            <v>-129</v>
          </cell>
        </row>
        <row r="48">
          <cell r="G48">
            <v>26049</v>
          </cell>
          <cell r="P48">
            <v>112180</v>
          </cell>
        </row>
        <row r="49">
          <cell r="P49">
            <v>59482</v>
          </cell>
        </row>
        <row r="51">
          <cell r="P51">
            <v>42382</v>
          </cell>
        </row>
      </sheetData>
      <sheetData sheetId="1">
        <row r="11">
          <cell r="J11">
            <v>-86253</v>
          </cell>
        </row>
        <row r="13">
          <cell r="J13">
            <v>-31003</v>
          </cell>
        </row>
      </sheetData>
      <sheetData sheetId="2"/>
      <sheetData sheetId="3"/>
      <sheetData sheetId="4"/>
      <sheetData sheetId="5">
        <row r="1">
          <cell r="A1" t="str">
            <v>Technos S.A.</v>
          </cell>
        </row>
        <row r="2">
          <cell r="A2" t="str">
            <v>Exercício social findos  em 30 de setembro de 2025 e 2024</v>
          </cell>
        </row>
        <row r="3">
          <cell r="C3" t="str">
            <v>Controladora</v>
          </cell>
          <cell r="G3" t="str">
            <v>Consolidado</v>
          </cell>
        </row>
        <row r="5">
          <cell r="C5">
            <v>45930</v>
          </cell>
          <cell r="E5">
            <v>45565</v>
          </cell>
          <cell r="G5">
            <v>45930</v>
          </cell>
        </row>
        <row r="7">
          <cell r="A7" t="str">
            <v>Fluxos de caixa das atividades operacionais</v>
          </cell>
        </row>
        <row r="8">
          <cell r="A8" t="str">
            <v>Lucro antes do Imposto de renda e da contribuição social</v>
          </cell>
          <cell r="C8">
            <v>42382</v>
          </cell>
          <cell r="E8">
            <v>38822</v>
          </cell>
          <cell r="G8">
            <v>45950</v>
          </cell>
        </row>
        <row r="10">
          <cell r="A10" t="str">
            <v>Ajuste de itens que não afetam o caixa</v>
          </cell>
        </row>
        <row r="11">
          <cell r="A11" t="str">
            <v>Amortização e depreciação</v>
          </cell>
          <cell r="E11">
            <v>0</v>
          </cell>
          <cell r="G11">
            <v>8430</v>
          </cell>
        </row>
        <row r="12">
          <cell r="A12" t="str">
            <v>Provisão (reversão) para valor recuperável de estoques</v>
          </cell>
          <cell r="E12">
            <v>0</v>
          </cell>
          <cell r="G12">
            <v>1524</v>
          </cell>
        </row>
        <row r="13">
          <cell r="A13" t="str">
            <v>Reversão de provisão de estoque por baixa</v>
          </cell>
          <cell r="E13">
            <v>0</v>
          </cell>
          <cell r="G13">
            <v>0</v>
          </cell>
        </row>
        <row r="14">
          <cell r="A14" t="str">
            <v>Provisão (reversão) para valor recuperável de contas a receber</v>
          </cell>
          <cell r="E14">
            <v>0</v>
          </cell>
          <cell r="G14">
            <v>2477</v>
          </cell>
        </row>
        <row r="15">
          <cell r="A15" t="str">
            <v>Baixa de contas a receber por execução de garantia sem geração de caixa</v>
          </cell>
          <cell r="E15">
            <v>0</v>
          </cell>
          <cell r="G15">
            <v>0</v>
          </cell>
        </row>
        <row r="16">
          <cell r="A16" t="str">
            <v>Ajuste a valor de mercado em ativos não circulantes disponíveis para venda</v>
          </cell>
          <cell r="E16">
            <v>0</v>
          </cell>
          <cell r="G16">
            <v>0</v>
          </cell>
        </row>
        <row r="17">
          <cell r="A17" t="str">
            <v>Provisão para contingências</v>
          </cell>
          <cell r="E17">
            <v>0</v>
          </cell>
          <cell r="G17">
            <v>911</v>
          </cell>
        </row>
        <row r="18">
          <cell r="A18" t="str">
            <v>Resultado na venda de ativos permanentes</v>
          </cell>
          <cell r="E18">
            <v>0</v>
          </cell>
          <cell r="G18">
            <v>405</v>
          </cell>
        </row>
        <row r="19">
          <cell r="A19" t="str">
            <v>Provisão para redução ao valor recuperável do ágio (impairment)</v>
          </cell>
          <cell r="E19">
            <v>0</v>
          </cell>
          <cell r="G19">
            <v>0</v>
          </cell>
        </row>
        <row r="20">
          <cell r="A20" t="str">
            <v>Impairment (reversão) de bens do ativo imobilizado e intangivel</v>
          </cell>
          <cell r="E20">
            <v>0</v>
          </cell>
          <cell r="G20">
            <v>0</v>
          </cell>
        </row>
        <row r="21">
          <cell r="A21" t="str">
            <v>Equivalência patrimonial</v>
          </cell>
          <cell r="C21">
            <v>-44008</v>
          </cell>
          <cell r="E21">
            <v>-42775</v>
          </cell>
        </row>
        <row r="22">
          <cell r="A22" t="str">
            <v>Juros sobre empréstimos</v>
          </cell>
          <cell r="E22">
            <v>0</v>
          </cell>
          <cell r="G22">
            <v>9778</v>
          </cell>
        </row>
        <row r="23">
          <cell r="A23" t="str">
            <v>Instrumentos financeiros derivativos</v>
          </cell>
          <cell r="E23">
            <v>0</v>
          </cell>
          <cell r="G23">
            <v>13526</v>
          </cell>
        </row>
        <row r="24">
          <cell r="A24" t="str">
            <v>Outras despesas de juros e variação cambial</v>
          </cell>
          <cell r="E24">
            <v>0</v>
          </cell>
          <cell r="G24">
            <v>-4095</v>
          </cell>
        </row>
        <row r="25">
          <cell r="A25" t="str">
            <v>Prêmio de opção de ações</v>
          </cell>
          <cell r="C25">
            <v>446</v>
          </cell>
          <cell r="E25">
            <v>828</v>
          </cell>
          <cell r="G25">
            <v>4507</v>
          </cell>
        </row>
        <row r="26">
          <cell r="A26" t="str">
            <v>Outros</v>
          </cell>
          <cell r="C26">
            <v>0</v>
          </cell>
          <cell r="E26">
            <v>1</v>
          </cell>
          <cell r="G26">
            <v>714</v>
          </cell>
        </row>
        <row r="27">
          <cell r="C27">
            <v>-1180</v>
          </cell>
          <cell r="E27">
            <v>-3124</v>
          </cell>
          <cell r="G27">
            <v>84127</v>
          </cell>
        </row>
        <row r="29">
          <cell r="A29" t="str">
            <v>Variações nos ativos e passivos</v>
          </cell>
        </row>
        <row r="30">
          <cell r="A30" t="str">
            <v>Redução de contas a receber</v>
          </cell>
          <cell r="C30">
            <v>0</v>
          </cell>
          <cell r="E30">
            <v>0</v>
          </cell>
          <cell r="G30">
            <v>-1600</v>
          </cell>
        </row>
        <row r="31">
          <cell r="A31" t="str">
            <v>Redução (aumento) nos estoques</v>
          </cell>
          <cell r="C31">
            <v>0</v>
          </cell>
          <cell r="E31">
            <v>0</v>
          </cell>
          <cell r="G31">
            <v>-41907</v>
          </cell>
        </row>
        <row r="32">
          <cell r="A32" t="str">
            <v>Redução (aumento) nos impostos a recuperar</v>
          </cell>
          <cell r="C32">
            <v>-31</v>
          </cell>
          <cell r="E32">
            <v>68</v>
          </cell>
          <cell r="G32">
            <v>3261</v>
          </cell>
        </row>
        <row r="33">
          <cell r="A33" t="str">
            <v>Redução (aumento) nos outros ativos</v>
          </cell>
          <cell r="C33">
            <v>-3026</v>
          </cell>
          <cell r="E33">
            <v>-1919</v>
          </cell>
          <cell r="G33">
            <v>-4388</v>
          </cell>
        </row>
        <row r="34">
          <cell r="A34" t="str">
            <v>Aumento (redução) em fornecedores e contas a pagar</v>
          </cell>
          <cell r="C34">
            <v>17137</v>
          </cell>
          <cell r="E34">
            <v>39009</v>
          </cell>
          <cell r="G34">
            <v>-15445</v>
          </cell>
        </row>
        <row r="35">
          <cell r="A35" t="str">
            <v>Aumento (redução) em salários e encargos sociais pagar</v>
          </cell>
          <cell r="C35">
            <v>2</v>
          </cell>
          <cell r="E35">
            <v>0</v>
          </cell>
          <cell r="G35">
            <v>3774</v>
          </cell>
        </row>
        <row r="36">
          <cell r="A36" t="str">
            <v>Aumento (redução) em impostos, taxas e contribuições sociais a pagar e a recuperar</v>
          </cell>
          <cell r="C36">
            <v>29</v>
          </cell>
          <cell r="E36">
            <v>-30</v>
          </cell>
          <cell r="G36">
            <v>-2231</v>
          </cell>
        </row>
        <row r="37">
          <cell r="C37">
            <v>12931</v>
          </cell>
          <cell r="E37">
            <v>34004</v>
          </cell>
          <cell r="G37">
            <v>25591</v>
          </cell>
        </row>
        <row r="39">
          <cell r="A39" t="str">
            <v>IR/CSL DIFERIDOS</v>
          </cell>
        </row>
        <row r="40">
          <cell r="A40" t="str">
            <v>Dividendos recebidos</v>
          </cell>
          <cell r="C40">
            <v>22000</v>
          </cell>
          <cell r="E40">
            <v>10300</v>
          </cell>
        </row>
        <row r="41">
          <cell r="A41" t="str">
            <v>Juros pagos</v>
          </cell>
          <cell r="E41">
            <v>0</v>
          </cell>
          <cell r="G41">
            <v>-8790</v>
          </cell>
        </row>
        <row r="42">
          <cell r="A42" t="str">
            <v>Imposto de renda e contribuição social pagos</v>
          </cell>
          <cell r="E42">
            <v>0</v>
          </cell>
          <cell r="G42">
            <v>-11575</v>
          </cell>
        </row>
        <row r="44">
          <cell r="A44" t="str">
            <v>Caixa líquido gerado pelas (aplicado nas) atividades operacionais</v>
          </cell>
          <cell r="C44">
            <v>34931</v>
          </cell>
          <cell r="E44">
            <v>44304</v>
          </cell>
          <cell r="G44">
            <v>5226</v>
          </cell>
        </row>
        <row r="46">
          <cell r="A46" t="str">
            <v>Fluxos de caixa das atividades de investimento</v>
          </cell>
        </row>
        <row r="48">
          <cell r="A48" t="str">
            <v>Dividendos recebidos</v>
          </cell>
        </row>
        <row r="49">
          <cell r="A49" t="str">
            <v>Aquisição de participação societária</v>
          </cell>
        </row>
        <row r="50">
          <cell r="A50" t="str">
            <v>Reversão de ágio em aquisição de participação societária</v>
          </cell>
        </row>
        <row r="51">
          <cell r="A51" t="str">
            <v>Indenização recebida em aquisição de participação societária</v>
          </cell>
        </row>
        <row r="52">
          <cell r="A52" t="str">
            <v>Ativos incorporados de controladas</v>
          </cell>
        </row>
        <row r="53">
          <cell r="A53" t="str">
            <v xml:space="preserve">Aumento e integralização de capital em empresa controlada </v>
          </cell>
        </row>
        <row r="54">
          <cell r="A54" t="str">
            <v>Caixa restrito</v>
          </cell>
          <cell r="G54">
            <v>0</v>
          </cell>
        </row>
        <row r="55">
          <cell r="A55" t="str">
            <v>Resgate (aplicações) de títulos e valores mobiliários</v>
          </cell>
        </row>
        <row r="57">
          <cell r="A57" t="str">
            <v>Compras de imobilizado</v>
          </cell>
          <cell r="G57">
            <v>-5495</v>
          </cell>
        </row>
        <row r="58">
          <cell r="A58" t="str">
            <v>Valor recebido pela venda de imobilizado e ativos destinados a venda</v>
          </cell>
          <cell r="G58">
            <v>1188</v>
          </cell>
        </row>
        <row r="59">
          <cell r="A59" t="str">
            <v>Compra de ativos intangíveis</v>
          </cell>
          <cell r="G59">
            <v>-4187</v>
          </cell>
        </row>
        <row r="60">
          <cell r="A60" t="str">
            <v>Aumento e integralização de capital em investida</v>
          </cell>
        </row>
        <row r="61">
          <cell r="A61" t="str">
            <v xml:space="preserve">Dividendos recebidos </v>
          </cell>
        </row>
        <row r="63">
          <cell r="A63" t="str">
            <v>Caixa líquido aplicado nas atividades de investimento</v>
          </cell>
          <cell r="C63">
            <v>0</v>
          </cell>
          <cell r="E63">
            <v>0</v>
          </cell>
          <cell r="G63">
            <v>-8494</v>
          </cell>
        </row>
        <row r="65">
          <cell r="A65" t="str">
            <v>Fluxos de caixa das atividades de financiamento</v>
          </cell>
        </row>
        <row r="66">
          <cell r="A66" t="str">
            <v>Aquisição de participação societária</v>
          </cell>
        </row>
        <row r="67">
          <cell r="A67" t="str">
            <v>Depósitos vinculados em garantia a empréstimos - caixa restrito</v>
          </cell>
          <cell r="G67">
            <v>169</v>
          </cell>
        </row>
        <row r="68">
          <cell r="A68" t="str">
            <v>Integralização de capital</v>
          </cell>
        </row>
        <row r="69">
          <cell r="A69" t="str">
            <v>Empréstimos</v>
          </cell>
          <cell r="G69">
            <v>0</v>
          </cell>
        </row>
        <row r="70">
          <cell r="A70" t="str">
            <v>Empréstimos pagos</v>
          </cell>
          <cell r="G70">
            <v>-13828</v>
          </cell>
        </row>
        <row r="71">
          <cell r="A71" t="str">
            <v>Aquisição de ações próprias mantidas em tesouraria</v>
          </cell>
          <cell r="C71">
            <v>-20814</v>
          </cell>
          <cell r="E71">
            <v>-38331</v>
          </cell>
          <cell r="G71">
            <v>-20814</v>
          </cell>
        </row>
        <row r="72">
          <cell r="A72" t="str">
            <v>Arrendamento contratado</v>
          </cell>
          <cell r="E72">
            <v>0</v>
          </cell>
        </row>
        <row r="73">
          <cell r="A73" t="str">
            <v>Arrendamento pago</v>
          </cell>
          <cell r="E73">
            <v>0</v>
          </cell>
          <cell r="G73">
            <v>-1056</v>
          </cell>
        </row>
        <row r="74">
          <cell r="A74" t="str">
            <v>Dividendos pagos aos acionistas da Companhia</v>
          </cell>
          <cell r="C74">
            <v>-14987</v>
          </cell>
          <cell r="E74">
            <v>-10226</v>
          </cell>
          <cell r="G74">
            <v>-14987</v>
          </cell>
        </row>
        <row r="75">
          <cell r="A75" t="str">
            <v>Exercício de plano de opção - Stock Option</v>
          </cell>
          <cell r="C75">
            <v>3809</v>
          </cell>
          <cell r="E75">
            <v>5716</v>
          </cell>
          <cell r="G75">
            <v>3809</v>
          </cell>
        </row>
        <row r="76">
          <cell r="A76" t="str">
            <v>Caixa líquido aplicado nas atividades de financiamento</v>
          </cell>
          <cell r="C76">
            <v>-31992</v>
          </cell>
          <cell r="E76">
            <v>-42841</v>
          </cell>
          <cell r="G76">
            <v>-46707</v>
          </cell>
        </row>
        <row r="78">
          <cell r="A78" t="str">
            <v>Aumento (redução) de caixa e equivalentes de caixa</v>
          </cell>
          <cell r="C78">
            <v>2939</v>
          </cell>
          <cell r="E78">
            <v>1463</v>
          </cell>
          <cell r="G78">
            <v>-49975</v>
          </cell>
        </row>
        <row r="80">
          <cell r="A80" t="str">
            <v>Caixa e equivalentes de caixa no início do período (nota 7)</v>
          </cell>
          <cell r="C80">
            <v>7</v>
          </cell>
          <cell r="E80">
            <v>36</v>
          </cell>
          <cell r="G80">
            <v>119913</v>
          </cell>
        </row>
        <row r="82">
          <cell r="A82" t="str">
            <v>Caixa e equivalentes de caixa no final do período (nota 7)</v>
          </cell>
          <cell r="C82">
            <v>2946</v>
          </cell>
          <cell r="E82">
            <v>1499</v>
          </cell>
          <cell r="G82">
            <v>69938</v>
          </cell>
        </row>
        <row r="84">
          <cell r="C84">
            <v>0</v>
          </cell>
          <cell r="G84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ucas de Souza Gonçalves Vieira" id="{100A62A3-A899-4147-BFE5-341E9694FB10}" userId="S::lucasvieira@grupotechnos.com.br::fb1fe7b2-45ca-4dfd-a9e9-eacb7f85fab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9" dT="2023-10-26T14:26:00.01" personId="{100A62A3-A899-4147-BFE5-341E9694FB10}" id="{F88EE2BD-79A2-41E9-8FB6-6203FD370738}">
    <text>CMV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W50"/>
  <sheetViews>
    <sheetView workbookViewId="0">
      <selection activeCell="I13" sqref="I13"/>
    </sheetView>
  </sheetViews>
  <sheetFormatPr defaultRowHeight="14.4"/>
  <cols>
    <col min="1" max="1" width="43.5546875" bestFit="1" customWidth="1"/>
    <col min="2" max="2" width="1.88671875" customWidth="1"/>
    <col min="3" max="3" width="14.109375" bestFit="1" customWidth="1"/>
    <col min="4" max="4" width="1.109375" customWidth="1"/>
    <col min="5" max="5" width="14.88671875" customWidth="1"/>
    <col min="6" max="6" width="5.44140625" bestFit="1" customWidth="1"/>
    <col min="7" max="7" width="13.88671875" customWidth="1"/>
    <col min="8" max="8" width="2.5546875" customWidth="1"/>
    <col min="9" max="9" width="10.5546875" customWidth="1"/>
    <col min="10" max="10" width="11.109375" customWidth="1"/>
    <col min="11" max="11" width="47.44140625" bestFit="1" customWidth="1"/>
    <col min="12" max="12" width="13.88671875" bestFit="1" customWidth="1"/>
    <col min="13" max="13" width="2.109375" customWidth="1"/>
    <col min="14" max="14" width="11.109375" bestFit="1" customWidth="1"/>
    <col min="15" max="15" width="2" customWidth="1"/>
    <col min="16" max="16" width="13.88671875" bestFit="1" customWidth="1"/>
    <col min="17" max="17" width="1.88671875" customWidth="1"/>
    <col min="18" max="18" width="11.109375" bestFit="1" customWidth="1"/>
    <col min="19" max="19" width="13.109375" customWidth="1"/>
  </cols>
  <sheetData>
    <row r="1" spans="1:23" ht="15" thickBot="1">
      <c r="A1" s="203"/>
      <c r="B1" s="203"/>
      <c r="C1" s="400" t="s">
        <v>264</v>
      </c>
      <c r="D1" s="400"/>
      <c r="E1" s="400"/>
      <c r="F1" s="203"/>
      <c r="G1" s="400" t="s">
        <v>265</v>
      </c>
      <c r="H1" s="400"/>
      <c r="I1" s="400"/>
      <c r="J1" s="52"/>
      <c r="K1" s="203"/>
      <c r="L1" s="400" t="s">
        <v>264</v>
      </c>
      <c r="M1" s="400"/>
      <c r="N1" s="400"/>
      <c r="O1" s="203"/>
      <c r="P1" s="400" t="s">
        <v>265</v>
      </c>
      <c r="Q1" s="400"/>
      <c r="R1" s="400"/>
      <c r="S1" s="204"/>
    </row>
    <row r="2" spans="1:23">
      <c r="A2" s="203"/>
      <c r="B2" s="203"/>
      <c r="C2" s="203"/>
      <c r="D2" s="208"/>
      <c r="E2" s="203"/>
      <c r="F2" s="203"/>
      <c r="G2" s="203"/>
      <c r="H2" s="208"/>
      <c r="I2" s="203"/>
      <c r="J2" s="52"/>
      <c r="K2" s="203"/>
      <c r="L2" s="203"/>
      <c r="M2" s="203"/>
      <c r="N2" s="203"/>
      <c r="O2" s="203"/>
      <c r="P2" s="203"/>
      <c r="Q2" s="224"/>
      <c r="R2" s="203"/>
      <c r="S2" s="224"/>
    </row>
    <row r="3" spans="1:23" ht="15" customHeight="1">
      <c r="A3" s="405" t="s">
        <v>30</v>
      </c>
      <c r="B3" s="403"/>
      <c r="C3" s="279" t="s">
        <v>400</v>
      </c>
      <c r="D3" s="403"/>
      <c r="E3" s="401" t="s">
        <v>292</v>
      </c>
      <c r="F3" s="403"/>
      <c r="G3" s="279" t="s">
        <v>400</v>
      </c>
      <c r="H3" s="403"/>
      <c r="I3" s="401" t="s">
        <v>292</v>
      </c>
      <c r="J3" s="404"/>
      <c r="K3" s="405" t="s">
        <v>39</v>
      </c>
      <c r="L3" s="279" t="s">
        <v>291</v>
      </c>
      <c r="M3" s="403"/>
      <c r="N3" s="401" t="s">
        <v>292</v>
      </c>
      <c r="O3" s="403"/>
      <c r="P3" s="279" t="s">
        <v>291</v>
      </c>
      <c r="Q3" s="403"/>
      <c r="R3" s="401" t="s">
        <v>292</v>
      </c>
      <c r="S3" s="406"/>
    </row>
    <row r="4" spans="1:23" ht="21" customHeight="1" thickBot="1">
      <c r="A4" s="405"/>
      <c r="B4" s="403"/>
      <c r="C4" s="280" t="s">
        <v>293</v>
      </c>
      <c r="D4" s="403"/>
      <c r="E4" s="402"/>
      <c r="F4" s="403"/>
      <c r="G4" s="280" t="s">
        <v>293</v>
      </c>
      <c r="H4" s="403"/>
      <c r="I4" s="402"/>
      <c r="J4" s="404"/>
      <c r="K4" s="405"/>
      <c r="L4" s="280" t="s">
        <v>293</v>
      </c>
      <c r="M4" s="403"/>
      <c r="N4" s="402"/>
      <c r="O4" s="403"/>
      <c r="P4" s="280" t="s">
        <v>293</v>
      </c>
      <c r="Q4" s="403"/>
      <c r="R4" s="402"/>
      <c r="S4" s="406"/>
    </row>
    <row r="5" spans="1:23">
      <c r="A5" s="203"/>
      <c r="B5" s="203"/>
      <c r="C5" s="203"/>
      <c r="D5" s="203"/>
      <c r="E5" s="203"/>
      <c r="F5" s="203"/>
      <c r="G5" s="203"/>
      <c r="H5" s="203"/>
      <c r="I5" s="203"/>
      <c r="J5" s="52"/>
      <c r="K5" s="203"/>
      <c r="L5" s="203"/>
      <c r="M5" s="203"/>
      <c r="N5" s="203"/>
      <c r="O5" s="203"/>
      <c r="P5" s="203"/>
      <c r="Q5" s="52"/>
      <c r="R5" s="203"/>
      <c r="S5" s="224"/>
    </row>
    <row r="6" spans="1:23">
      <c r="A6" s="203"/>
      <c r="B6" s="203"/>
      <c r="C6" s="203"/>
      <c r="D6" s="203"/>
      <c r="E6" s="203"/>
      <c r="F6" s="203"/>
      <c r="G6" s="203"/>
      <c r="H6" s="203"/>
      <c r="I6" s="203"/>
      <c r="J6" s="52"/>
      <c r="K6" s="203"/>
      <c r="L6" s="203"/>
      <c r="M6" s="203"/>
      <c r="N6" s="203"/>
      <c r="O6" s="203"/>
      <c r="P6" s="203"/>
      <c r="Q6" s="52"/>
      <c r="R6" s="203"/>
      <c r="S6" s="224"/>
    </row>
    <row r="7" spans="1:23">
      <c r="A7" s="208" t="s">
        <v>31</v>
      </c>
      <c r="B7" s="203"/>
      <c r="C7" s="203"/>
      <c r="D7" s="203"/>
      <c r="E7" s="203"/>
      <c r="F7" s="203"/>
      <c r="G7" s="203"/>
      <c r="H7" s="203"/>
      <c r="I7" s="203"/>
      <c r="J7" s="52"/>
      <c r="K7" s="208" t="s">
        <v>31</v>
      </c>
      <c r="L7" s="203"/>
      <c r="M7" s="203"/>
      <c r="N7" s="203"/>
      <c r="O7" s="203"/>
      <c r="P7" s="203"/>
      <c r="Q7" s="52"/>
      <c r="R7" s="203"/>
      <c r="S7" s="224"/>
    </row>
    <row r="8" spans="1:23">
      <c r="A8" s="208" t="s">
        <v>294</v>
      </c>
      <c r="B8" s="203"/>
      <c r="C8" s="281">
        <v>65</v>
      </c>
      <c r="D8" s="203"/>
      <c r="E8" s="281">
        <v>61</v>
      </c>
      <c r="F8" s="293">
        <v>-4</v>
      </c>
      <c r="G8" s="297">
        <v>27648</v>
      </c>
      <c r="H8" s="203"/>
      <c r="I8" s="281">
        <v>46343</v>
      </c>
      <c r="J8" s="295">
        <v>16954</v>
      </c>
      <c r="K8" s="208" t="s">
        <v>295</v>
      </c>
      <c r="L8" s="282"/>
      <c r="M8" s="208"/>
      <c r="N8" s="283"/>
      <c r="O8" s="294">
        <v>0</v>
      </c>
      <c r="P8" s="298">
        <v>36273</v>
      </c>
      <c r="Q8" s="52"/>
      <c r="R8" s="281">
        <v>84665</v>
      </c>
      <c r="S8" s="294">
        <v>-48392</v>
      </c>
      <c r="U8" s="296">
        <v>48392</v>
      </c>
    </row>
    <row r="9" spans="1:23">
      <c r="A9" s="208" t="s">
        <v>296</v>
      </c>
      <c r="B9" s="203"/>
      <c r="C9" s="282"/>
      <c r="D9" s="203"/>
      <c r="E9" s="282"/>
      <c r="F9" s="293">
        <v>0</v>
      </c>
      <c r="G9" s="298">
        <v>185761</v>
      </c>
      <c r="H9" s="203"/>
      <c r="I9" s="281">
        <v>232036</v>
      </c>
      <c r="J9" s="295">
        <v>48016</v>
      </c>
      <c r="K9" s="208" t="s">
        <v>40</v>
      </c>
      <c r="L9" s="282">
        <v>16</v>
      </c>
      <c r="M9" s="208"/>
      <c r="N9" s="282">
        <v>13</v>
      </c>
      <c r="O9" s="294">
        <v>3</v>
      </c>
      <c r="P9" s="298">
        <v>17132</v>
      </c>
      <c r="Q9" s="52"/>
      <c r="R9" s="281">
        <v>13890</v>
      </c>
      <c r="S9" s="294">
        <v>3242</v>
      </c>
    </row>
    <row r="10" spans="1:23">
      <c r="A10" s="208" t="s">
        <v>32</v>
      </c>
      <c r="B10" s="203"/>
      <c r="C10" s="281">
        <v>4850</v>
      </c>
      <c r="D10" s="203"/>
      <c r="E10" s="281">
        <v>14471</v>
      </c>
      <c r="F10" s="293">
        <v>9621</v>
      </c>
      <c r="G10" s="281"/>
      <c r="H10" s="203"/>
      <c r="I10" s="281"/>
      <c r="J10" s="295">
        <v>0</v>
      </c>
      <c r="K10" s="208" t="s">
        <v>41</v>
      </c>
      <c r="L10" s="282">
        <v>8</v>
      </c>
      <c r="M10" s="208"/>
      <c r="N10" s="282">
        <v>9</v>
      </c>
      <c r="O10" s="294">
        <v>-1</v>
      </c>
      <c r="P10" s="298">
        <v>6550</v>
      </c>
      <c r="Q10" s="52"/>
      <c r="R10" s="281">
        <v>8107</v>
      </c>
      <c r="S10" s="294">
        <v>-1557</v>
      </c>
    </row>
    <row r="11" spans="1:23">
      <c r="A11" s="208" t="s">
        <v>297</v>
      </c>
      <c r="B11" s="203"/>
      <c r="C11" s="282"/>
      <c r="D11" s="203"/>
      <c r="E11" s="282">
        <v>0</v>
      </c>
      <c r="F11" s="293">
        <v>0</v>
      </c>
      <c r="G11" s="298">
        <v>176461</v>
      </c>
      <c r="H11" s="203"/>
      <c r="I11" s="281">
        <v>162775</v>
      </c>
      <c r="J11" s="295">
        <v>-13686</v>
      </c>
      <c r="K11" s="208" t="s">
        <v>42</v>
      </c>
      <c r="L11" s="282">
        <v>15</v>
      </c>
      <c r="M11" s="208"/>
      <c r="N11" s="282">
        <v>8</v>
      </c>
      <c r="O11" s="294">
        <v>7</v>
      </c>
      <c r="P11" s="298">
        <v>10948</v>
      </c>
      <c r="Q11" s="52"/>
      <c r="R11" s="281">
        <v>11795</v>
      </c>
      <c r="S11" s="294">
        <v>-847</v>
      </c>
    </row>
    <row r="12" spans="1:23">
      <c r="A12" s="208" t="s">
        <v>33</v>
      </c>
      <c r="B12" s="203"/>
      <c r="C12" s="292">
        <v>1098</v>
      </c>
      <c r="D12" s="203"/>
      <c r="E12" s="292">
        <v>1052</v>
      </c>
      <c r="F12" s="293">
        <v>-46</v>
      </c>
      <c r="G12" s="298">
        <v>17594</v>
      </c>
      <c r="H12" s="203"/>
      <c r="I12" s="281">
        <v>13369</v>
      </c>
      <c r="J12" s="295">
        <v>-4225</v>
      </c>
      <c r="K12" s="208" t="s">
        <v>298</v>
      </c>
      <c r="L12" s="281">
        <v>29</v>
      </c>
      <c r="M12" s="208"/>
      <c r="N12" s="281">
        <v>5366</v>
      </c>
      <c r="O12" s="294">
        <v>-5337</v>
      </c>
      <c r="P12" s="298">
        <v>1438</v>
      </c>
      <c r="Q12" s="52"/>
      <c r="R12" s="281">
        <v>6775</v>
      </c>
      <c r="S12" s="294">
        <v>-5337</v>
      </c>
      <c r="T12">
        <v>2618</v>
      </c>
      <c r="U12" s="296">
        <v>-7955</v>
      </c>
      <c r="V12">
        <v>15036</v>
      </c>
      <c r="W12" s="296">
        <v>13598</v>
      </c>
    </row>
    <row r="13" spans="1:23">
      <c r="A13" s="208" t="s">
        <v>299</v>
      </c>
      <c r="B13" s="203"/>
      <c r="C13" s="281">
        <v>1757</v>
      </c>
      <c r="D13" s="203"/>
      <c r="E13" s="281">
        <v>2375</v>
      </c>
      <c r="F13" s="293">
        <v>618</v>
      </c>
      <c r="G13" s="298">
        <v>29028</v>
      </c>
      <c r="H13" s="203"/>
      <c r="I13" s="281">
        <v>26467</v>
      </c>
      <c r="J13" s="295">
        <v>-2561</v>
      </c>
      <c r="K13" s="208" t="s">
        <v>43</v>
      </c>
      <c r="L13" s="282"/>
      <c r="M13" s="208"/>
      <c r="N13" s="282"/>
      <c r="O13" s="294">
        <v>0</v>
      </c>
      <c r="P13" s="300">
        <v>243</v>
      </c>
      <c r="Q13" s="52"/>
      <c r="R13" s="292">
        <v>406</v>
      </c>
      <c r="S13" s="294">
        <v>-163</v>
      </c>
    </row>
    <row r="14" spans="1:23" ht="15" thickBot="1">
      <c r="A14" s="203"/>
      <c r="B14" s="203"/>
      <c r="C14" s="282"/>
      <c r="D14" s="203"/>
      <c r="E14" s="203"/>
      <c r="F14" s="293">
        <v>0</v>
      </c>
      <c r="G14" s="282"/>
      <c r="H14" s="203"/>
      <c r="I14" s="203"/>
      <c r="J14" s="295">
        <v>0</v>
      </c>
      <c r="K14" s="208" t="s">
        <v>44</v>
      </c>
      <c r="L14" s="284">
        <v>7</v>
      </c>
      <c r="M14" s="208"/>
      <c r="N14" s="284">
        <v>6</v>
      </c>
      <c r="O14" s="294">
        <v>1</v>
      </c>
      <c r="P14" s="301">
        <v>6922</v>
      </c>
      <c r="Q14" s="52"/>
      <c r="R14" s="286">
        <v>6835</v>
      </c>
      <c r="S14" s="294">
        <v>87</v>
      </c>
    </row>
    <row r="15" spans="1:23" ht="15" thickBot="1">
      <c r="A15" s="203"/>
      <c r="B15" s="203"/>
      <c r="C15" s="284"/>
      <c r="D15" s="203"/>
      <c r="E15" s="288"/>
      <c r="F15" s="293">
        <v>0</v>
      </c>
      <c r="G15" s="284"/>
      <c r="H15" s="203"/>
      <c r="I15" s="288"/>
      <c r="J15" s="295">
        <v>0</v>
      </c>
      <c r="K15" s="203"/>
      <c r="L15" s="282"/>
      <c r="M15" s="208"/>
      <c r="N15" s="282"/>
      <c r="O15" s="294">
        <v>0</v>
      </c>
      <c r="P15" s="282"/>
      <c r="Q15" s="52"/>
      <c r="R15" s="282"/>
      <c r="S15" s="294">
        <v>0</v>
      </c>
    </row>
    <row r="16" spans="1:23" ht="15" thickBot="1">
      <c r="A16" s="203"/>
      <c r="B16" s="203"/>
      <c r="C16" s="282"/>
      <c r="D16" s="203"/>
      <c r="E16" s="203"/>
      <c r="F16" s="293">
        <v>0</v>
      </c>
      <c r="G16" s="282"/>
      <c r="H16" s="203"/>
      <c r="I16" s="203"/>
      <c r="J16" s="295">
        <v>0</v>
      </c>
      <c r="K16" s="203"/>
      <c r="L16" s="286">
        <v>75</v>
      </c>
      <c r="M16" s="208"/>
      <c r="N16" s="286">
        <v>5402</v>
      </c>
      <c r="O16" s="294">
        <v>-5327</v>
      </c>
      <c r="P16" s="286">
        <v>79506</v>
      </c>
      <c r="Q16" s="52"/>
      <c r="R16" s="286">
        <v>132473</v>
      </c>
      <c r="S16" s="294">
        <v>-52967</v>
      </c>
    </row>
    <row r="17" spans="1:21" ht="15" thickBot="1">
      <c r="A17" s="203"/>
      <c r="B17" s="203"/>
      <c r="C17" s="286">
        <v>7770</v>
      </c>
      <c r="D17" s="203"/>
      <c r="E17" s="286">
        <v>17959</v>
      </c>
      <c r="F17" s="293">
        <v>10189</v>
      </c>
      <c r="G17" s="286">
        <v>436492</v>
      </c>
      <c r="H17" s="203"/>
      <c r="I17" s="286">
        <v>480990</v>
      </c>
      <c r="J17" s="295">
        <v>44498</v>
      </c>
      <c r="K17" s="203"/>
      <c r="L17" s="282"/>
      <c r="M17" s="208"/>
      <c r="N17" s="282"/>
      <c r="O17" s="294">
        <v>0</v>
      </c>
      <c r="P17" s="282"/>
      <c r="Q17" s="52"/>
      <c r="R17" s="282"/>
      <c r="S17" s="294">
        <v>0</v>
      </c>
    </row>
    <row r="18" spans="1:21">
      <c r="A18" s="203"/>
      <c r="B18" s="203"/>
      <c r="C18" s="282"/>
      <c r="D18" s="203"/>
      <c r="E18" s="203"/>
      <c r="F18" s="293">
        <v>0</v>
      </c>
      <c r="G18" s="282"/>
      <c r="H18" s="203"/>
      <c r="I18" s="203"/>
      <c r="J18" s="295">
        <v>0</v>
      </c>
      <c r="K18" s="208" t="s">
        <v>35</v>
      </c>
      <c r="L18" s="282"/>
      <c r="M18" s="208"/>
      <c r="N18" s="282"/>
      <c r="O18" s="294">
        <v>0</v>
      </c>
      <c r="P18" s="282"/>
      <c r="Q18" s="52"/>
      <c r="R18" s="282"/>
      <c r="S18" s="294">
        <v>0</v>
      </c>
    </row>
    <row r="19" spans="1:21" ht="15" thickBot="1">
      <c r="A19" s="208" t="s">
        <v>300</v>
      </c>
      <c r="B19" s="203"/>
      <c r="C19" s="284"/>
      <c r="D19" s="203"/>
      <c r="E19" s="288"/>
      <c r="F19" s="293">
        <v>0</v>
      </c>
      <c r="G19" s="284"/>
      <c r="H19" s="203"/>
      <c r="I19" s="284"/>
      <c r="J19" s="295">
        <v>0</v>
      </c>
      <c r="K19" s="208" t="s">
        <v>295</v>
      </c>
      <c r="L19" s="282"/>
      <c r="M19" s="208"/>
      <c r="N19" s="282"/>
      <c r="O19" s="294">
        <v>0</v>
      </c>
      <c r="P19" s="300">
        <v>155132</v>
      </c>
      <c r="Q19" s="52"/>
      <c r="R19" s="292">
        <v>155128</v>
      </c>
      <c r="S19" s="294">
        <v>4</v>
      </c>
    </row>
    <row r="20" spans="1:21">
      <c r="A20" s="203"/>
      <c r="B20" s="203"/>
      <c r="C20" s="282"/>
      <c r="D20" s="203"/>
      <c r="E20" s="203"/>
      <c r="F20" s="293">
        <v>0</v>
      </c>
      <c r="G20" s="282"/>
      <c r="H20" s="203"/>
      <c r="I20" s="203"/>
      <c r="J20" s="295">
        <v>0</v>
      </c>
      <c r="K20" s="208" t="s">
        <v>301</v>
      </c>
      <c r="L20" s="282"/>
      <c r="M20" s="208"/>
      <c r="N20" s="282"/>
      <c r="O20" s="294">
        <v>0</v>
      </c>
      <c r="P20" s="298">
        <v>50783</v>
      </c>
      <c r="Q20" s="52"/>
      <c r="R20" s="281">
        <v>49640</v>
      </c>
      <c r="S20" s="294">
        <v>1143</v>
      </c>
      <c r="T20" s="296"/>
    </row>
    <row r="21" spans="1:21" ht="15" thickBot="1">
      <c r="A21" s="203"/>
      <c r="B21" s="203"/>
      <c r="C21" s="286">
        <v>7770</v>
      </c>
      <c r="D21" s="203"/>
      <c r="E21" s="286">
        <v>17959</v>
      </c>
      <c r="F21" s="293">
        <v>10189</v>
      </c>
      <c r="G21" s="286">
        <v>436492</v>
      </c>
      <c r="H21" s="203"/>
      <c r="I21" s="286">
        <v>480990</v>
      </c>
      <c r="J21" s="295">
        <v>44498</v>
      </c>
      <c r="K21" s="208" t="s">
        <v>302</v>
      </c>
      <c r="L21" s="282"/>
      <c r="M21" s="208"/>
      <c r="N21" s="282"/>
      <c r="O21" s="294">
        <v>0</v>
      </c>
      <c r="P21" s="298">
        <v>28921</v>
      </c>
      <c r="Q21" s="52"/>
      <c r="R21" s="281">
        <v>27714</v>
      </c>
      <c r="S21" s="294">
        <v>1207</v>
      </c>
    </row>
    <row r="22" spans="1:21">
      <c r="A22" s="208"/>
      <c r="B22" s="208"/>
      <c r="C22" s="282"/>
      <c r="D22" s="208"/>
      <c r="E22" s="282"/>
      <c r="F22" s="293">
        <v>0</v>
      </c>
      <c r="G22" s="282"/>
      <c r="H22" s="208"/>
      <c r="I22" s="282"/>
      <c r="J22" s="295">
        <v>0</v>
      </c>
      <c r="K22" s="208" t="s">
        <v>43</v>
      </c>
      <c r="L22" s="282"/>
      <c r="M22" s="208"/>
      <c r="N22" s="282"/>
      <c r="O22" s="294">
        <v>0</v>
      </c>
      <c r="P22" s="302">
        <v>320</v>
      </c>
      <c r="Q22" s="52"/>
      <c r="R22" s="282">
        <v>560</v>
      </c>
      <c r="S22" s="294">
        <v>-240</v>
      </c>
    </row>
    <row r="23" spans="1:21">
      <c r="A23" s="203"/>
      <c r="B23" s="203"/>
      <c r="C23" s="203"/>
      <c r="D23" s="203"/>
      <c r="E23" s="203"/>
      <c r="F23" s="293">
        <v>0</v>
      </c>
      <c r="G23" s="203"/>
      <c r="H23" s="203"/>
      <c r="I23" s="203"/>
      <c r="J23" s="295">
        <v>0</v>
      </c>
      <c r="K23" s="208" t="s">
        <v>303</v>
      </c>
      <c r="L23" s="282"/>
      <c r="M23" s="208"/>
      <c r="N23" s="282"/>
      <c r="O23" s="294">
        <v>0</v>
      </c>
      <c r="P23" s="298">
        <v>24804</v>
      </c>
      <c r="Q23" s="224"/>
      <c r="R23" s="281">
        <v>24954</v>
      </c>
      <c r="S23" s="294">
        <v>-150</v>
      </c>
    </row>
    <row r="24" spans="1:21" ht="15" thickBot="1">
      <c r="A24" s="208" t="s">
        <v>35</v>
      </c>
      <c r="B24" s="203"/>
      <c r="C24" s="203"/>
      <c r="D24" s="203"/>
      <c r="E24" s="203"/>
      <c r="F24" s="293">
        <v>0</v>
      </c>
      <c r="G24" s="203"/>
      <c r="H24" s="203"/>
      <c r="I24" s="203"/>
      <c r="J24" s="295">
        <v>0</v>
      </c>
      <c r="K24" s="208" t="s">
        <v>44</v>
      </c>
      <c r="L24" s="284"/>
      <c r="M24" s="208"/>
      <c r="N24" s="284"/>
      <c r="O24" s="294">
        <v>0</v>
      </c>
      <c r="P24" s="301">
        <v>2132</v>
      </c>
      <c r="Q24" s="52"/>
      <c r="R24" s="286">
        <v>2132</v>
      </c>
      <c r="S24" s="294">
        <v>0</v>
      </c>
      <c r="T24" s="296"/>
      <c r="U24" t="s">
        <v>304</v>
      </c>
    </row>
    <row r="25" spans="1:21">
      <c r="A25" s="208" t="s">
        <v>36</v>
      </c>
      <c r="B25" s="203"/>
      <c r="C25" s="203"/>
      <c r="D25" s="203"/>
      <c r="E25" s="203"/>
      <c r="F25" s="293">
        <v>0</v>
      </c>
      <c r="G25" s="203"/>
      <c r="H25" s="203"/>
      <c r="I25" s="203"/>
      <c r="J25" s="295">
        <v>0</v>
      </c>
      <c r="K25" s="203"/>
      <c r="L25" s="282"/>
      <c r="M25" s="208"/>
      <c r="N25" s="282"/>
      <c r="O25" s="294">
        <v>0</v>
      </c>
      <c r="P25" s="282"/>
      <c r="Q25" s="52"/>
      <c r="R25" s="282"/>
      <c r="S25" s="294">
        <v>0</v>
      </c>
    </row>
    <row r="26" spans="1:21" ht="15" thickBot="1">
      <c r="A26" s="208" t="s">
        <v>305</v>
      </c>
      <c r="B26" s="203"/>
      <c r="C26" s="203"/>
      <c r="D26" s="203"/>
      <c r="E26" s="203"/>
      <c r="F26" s="293">
        <v>0</v>
      </c>
      <c r="G26" s="298">
        <v>8437</v>
      </c>
      <c r="H26" s="203"/>
      <c r="I26" s="281">
        <v>8812</v>
      </c>
      <c r="J26" s="295">
        <v>375</v>
      </c>
      <c r="K26" s="203"/>
      <c r="L26" s="287">
        <v>0</v>
      </c>
      <c r="M26" s="208"/>
      <c r="N26" s="287">
        <v>0</v>
      </c>
      <c r="O26" s="294">
        <v>0</v>
      </c>
      <c r="P26" s="287">
        <v>262092</v>
      </c>
      <c r="Q26" s="52"/>
      <c r="R26" s="287">
        <v>260128</v>
      </c>
      <c r="S26" s="294">
        <v>1964</v>
      </c>
    </row>
    <row r="27" spans="1:21" ht="15" thickBot="1">
      <c r="A27" s="208" t="s">
        <v>33</v>
      </c>
      <c r="B27" s="203"/>
      <c r="C27" s="203"/>
      <c r="D27" s="203"/>
      <c r="E27" s="203"/>
      <c r="F27" s="293">
        <v>0</v>
      </c>
      <c r="G27" s="298">
        <v>4571</v>
      </c>
      <c r="H27" s="203"/>
      <c r="I27" s="281">
        <v>4570</v>
      </c>
      <c r="J27" s="295">
        <v>-1</v>
      </c>
      <c r="K27" s="203"/>
      <c r="L27" s="286">
        <v>75</v>
      </c>
      <c r="M27" s="208"/>
      <c r="N27" s="286">
        <v>5402</v>
      </c>
      <c r="O27" s="294">
        <v>-5327</v>
      </c>
      <c r="P27" s="286">
        <v>341598</v>
      </c>
      <c r="Q27" s="52"/>
      <c r="R27" s="286">
        <v>392601</v>
      </c>
      <c r="S27" s="294">
        <v>-51003</v>
      </c>
    </row>
    <row r="28" spans="1:21">
      <c r="A28" s="208" t="s">
        <v>401</v>
      </c>
      <c r="B28" s="203"/>
      <c r="C28" s="203"/>
      <c r="D28" s="203"/>
      <c r="E28" s="203"/>
      <c r="F28" s="293"/>
      <c r="G28" s="298">
        <v>7617</v>
      </c>
      <c r="H28" s="203"/>
      <c r="I28" s="281">
        <v>6664</v>
      </c>
      <c r="J28" s="295"/>
      <c r="K28" s="203"/>
      <c r="L28" s="281"/>
      <c r="M28" s="208"/>
      <c r="N28" s="281"/>
      <c r="O28" s="294"/>
      <c r="P28" s="281"/>
      <c r="Q28" s="52"/>
      <c r="R28" s="281"/>
      <c r="S28" s="294"/>
    </row>
    <row r="29" spans="1:21">
      <c r="A29" s="208" t="s">
        <v>306</v>
      </c>
      <c r="B29" s="203"/>
      <c r="C29" s="203"/>
      <c r="D29" s="203"/>
      <c r="E29" s="203"/>
      <c r="F29" s="293">
        <v>0</v>
      </c>
      <c r="G29" s="298">
        <v>24804</v>
      </c>
      <c r="H29" s="203"/>
      <c r="I29" s="281">
        <v>25574</v>
      </c>
      <c r="J29" s="295">
        <v>770</v>
      </c>
      <c r="K29" s="203"/>
      <c r="L29" s="282"/>
      <c r="M29" s="208"/>
      <c r="N29" s="282"/>
      <c r="O29" s="294">
        <v>0</v>
      </c>
      <c r="P29" s="282"/>
      <c r="Q29" s="52"/>
      <c r="R29" s="282"/>
      <c r="S29" s="294">
        <v>0</v>
      </c>
    </row>
    <row r="30" spans="1:21">
      <c r="A30" s="208" t="s">
        <v>37</v>
      </c>
      <c r="B30" s="203"/>
      <c r="C30" s="203"/>
      <c r="D30" s="203"/>
      <c r="E30" s="203"/>
      <c r="F30" s="293">
        <v>0</v>
      </c>
      <c r="G30" s="298">
        <v>2069</v>
      </c>
      <c r="H30" s="203"/>
      <c r="I30" s="281">
        <v>2116</v>
      </c>
      <c r="J30" s="295">
        <v>47</v>
      </c>
      <c r="K30" s="208" t="s">
        <v>307</v>
      </c>
      <c r="L30" s="282"/>
      <c r="M30" s="208"/>
      <c r="N30" s="282"/>
      <c r="O30" s="294">
        <v>0</v>
      </c>
      <c r="P30" s="282"/>
      <c r="Q30" s="52"/>
      <c r="R30" s="282"/>
      <c r="S30" s="294">
        <v>0</v>
      </c>
    </row>
    <row r="31" spans="1:21" ht="15" thickBot="1">
      <c r="A31" s="208" t="s">
        <v>34</v>
      </c>
      <c r="B31" s="203"/>
      <c r="C31" s="288"/>
      <c r="D31" s="203"/>
      <c r="E31" s="288"/>
      <c r="F31" s="293">
        <v>0</v>
      </c>
      <c r="G31" s="299">
        <v>360</v>
      </c>
      <c r="H31" s="203"/>
      <c r="I31" s="284">
        <v>114</v>
      </c>
      <c r="J31" s="295">
        <v>-246</v>
      </c>
      <c r="K31" s="208" t="s">
        <v>308</v>
      </c>
      <c r="L31" s="282"/>
      <c r="M31" s="208"/>
      <c r="N31" s="282"/>
      <c r="O31" s="294">
        <v>0</v>
      </c>
      <c r="P31" s="282"/>
      <c r="Q31" s="52"/>
      <c r="R31" s="282"/>
      <c r="S31" s="294">
        <v>0</v>
      </c>
    </row>
    <row r="32" spans="1:21">
      <c r="A32" s="203"/>
      <c r="B32" s="203"/>
      <c r="C32" s="203"/>
      <c r="D32" s="203"/>
      <c r="E32" s="203"/>
      <c r="F32" s="293">
        <v>0</v>
      </c>
      <c r="G32" s="282"/>
      <c r="H32" s="203"/>
      <c r="I32" s="203"/>
      <c r="J32" s="295">
        <v>0</v>
      </c>
      <c r="K32" s="208" t="s">
        <v>46</v>
      </c>
      <c r="L32" s="214">
        <v>129393</v>
      </c>
      <c r="M32" s="214"/>
      <c r="N32" s="214">
        <v>127000</v>
      </c>
      <c r="O32" s="294">
        <v>2393</v>
      </c>
      <c r="P32" s="214">
        <v>129393</v>
      </c>
      <c r="Q32" s="214"/>
      <c r="R32" s="214">
        <v>127000</v>
      </c>
      <c r="S32" s="294">
        <v>2393</v>
      </c>
    </row>
    <row r="33" spans="1:19">
      <c r="A33" s="203"/>
      <c r="B33" s="203"/>
      <c r="C33" s="203"/>
      <c r="D33" s="203"/>
      <c r="E33" s="203"/>
      <c r="F33" s="293">
        <v>0</v>
      </c>
      <c r="G33" s="282"/>
      <c r="H33" s="203"/>
      <c r="I33" s="203"/>
      <c r="J33" s="295">
        <v>0</v>
      </c>
      <c r="K33" s="208" t="s">
        <v>47</v>
      </c>
      <c r="L33" s="214">
        <v>-10870</v>
      </c>
      <c r="M33" s="214"/>
      <c r="N33" s="214">
        <v>-10870</v>
      </c>
      <c r="O33" s="294">
        <v>0</v>
      </c>
      <c r="P33" s="214">
        <v>-10870</v>
      </c>
      <c r="Q33" s="214"/>
      <c r="R33" s="214">
        <v>-10870</v>
      </c>
      <c r="S33" s="294">
        <v>0</v>
      </c>
    </row>
    <row r="34" spans="1:19">
      <c r="A34" s="208" t="s">
        <v>309</v>
      </c>
      <c r="B34" s="203"/>
      <c r="C34" s="281">
        <v>362019</v>
      </c>
      <c r="D34" s="203"/>
      <c r="E34" s="281">
        <v>354905</v>
      </c>
      <c r="F34" s="293">
        <v>-7114</v>
      </c>
      <c r="G34" s="292"/>
      <c r="H34" s="203"/>
      <c r="I34" s="203"/>
      <c r="J34" s="295">
        <v>0</v>
      </c>
      <c r="K34" s="208" t="s">
        <v>48</v>
      </c>
      <c r="L34" s="214">
        <v>190475</v>
      </c>
      <c r="M34" s="214"/>
      <c r="N34" s="214">
        <v>188397</v>
      </c>
      <c r="O34" s="294">
        <v>2078</v>
      </c>
      <c r="P34" s="214">
        <v>190475</v>
      </c>
      <c r="Q34" s="214"/>
      <c r="R34" s="214">
        <v>188397</v>
      </c>
      <c r="S34" s="294">
        <v>2078</v>
      </c>
    </row>
    <row r="35" spans="1:19">
      <c r="A35" s="208" t="s">
        <v>310</v>
      </c>
      <c r="B35" s="203"/>
      <c r="C35" s="281">
        <v>74957</v>
      </c>
      <c r="D35" s="203"/>
      <c r="E35" s="281">
        <v>74959</v>
      </c>
      <c r="F35" s="293">
        <v>2</v>
      </c>
      <c r="G35" s="300">
        <v>263798</v>
      </c>
      <c r="H35" s="203"/>
      <c r="I35" s="292">
        <v>266280</v>
      </c>
      <c r="J35" s="295">
        <v>2482</v>
      </c>
      <c r="K35" s="208" t="s">
        <v>49</v>
      </c>
      <c r="L35" s="214">
        <v>147022</v>
      </c>
      <c r="M35" s="214"/>
      <c r="N35" s="214">
        <v>154128</v>
      </c>
      <c r="O35" s="294">
        <v>-7106</v>
      </c>
      <c r="P35" s="214">
        <v>147022</v>
      </c>
      <c r="Q35" s="214"/>
      <c r="R35" s="214">
        <v>154128</v>
      </c>
      <c r="S35" s="294">
        <v>-7106</v>
      </c>
    </row>
    <row r="36" spans="1:19" ht="15" thickBot="1">
      <c r="A36" s="208" t="s">
        <v>311</v>
      </c>
      <c r="B36" s="203"/>
      <c r="C36" s="284"/>
      <c r="D36" s="203"/>
      <c r="E36" s="288"/>
      <c r="F36" s="293">
        <v>0</v>
      </c>
      <c r="G36" s="301">
        <v>41765</v>
      </c>
      <c r="H36" s="203"/>
      <c r="I36" s="286">
        <v>43490</v>
      </c>
      <c r="J36" s="295">
        <v>1725</v>
      </c>
      <c r="K36" s="208" t="s">
        <v>50</v>
      </c>
      <c r="L36" s="214">
        <v>-16234</v>
      </c>
      <c r="M36" s="214"/>
      <c r="N36" s="214">
        <v>-16234</v>
      </c>
      <c r="O36" s="294">
        <v>0</v>
      </c>
      <c r="P36" s="214">
        <v>-16234</v>
      </c>
      <c r="Q36" s="214"/>
      <c r="R36" s="214">
        <v>-16234</v>
      </c>
      <c r="S36" s="294">
        <v>0</v>
      </c>
    </row>
    <row r="37" spans="1:19" ht="15" thickBot="1">
      <c r="A37" s="203"/>
      <c r="B37" s="203"/>
      <c r="C37" s="282"/>
      <c r="D37" s="203"/>
      <c r="E37" s="203"/>
      <c r="F37" s="293">
        <v>0</v>
      </c>
      <c r="G37" s="282"/>
      <c r="H37" s="203"/>
      <c r="I37" s="282"/>
      <c r="J37" s="295">
        <v>0</v>
      </c>
      <c r="K37" s="208" t="s">
        <v>402</v>
      </c>
      <c r="L37" s="213">
        <v>4885</v>
      </c>
      <c r="M37" s="214"/>
      <c r="N37" s="213"/>
      <c r="O37" s="294">
        <v>4885</v>
      </c>
      <c r="P37" s="213">
        <v>4885</v>
      </c>
      <c r="Q37" s="214"/>
      <c r="R37" s="213"/>
      <c r="S37" s="294">
        <v>4885</v>
      </c>
    </row>
    <row r="38" spans="1:19">
      <c r="A38" s="203"/>
      <c r="B38" s="203"/>
      <c r="C38" s="282"/>
      <c r="D38" s="203"/>
      <c r="E38" s="203"/>
      <c r="F38" s="293">
        <v>0</v>
      </c>
      <c r="G38" s="282"/>
      <c r="H38" s="203"/>
      <c r="I38" s="282"/>
      <c r="J38" s="295">
        <v>0</v>
      </c>
      <c r="K38" s="203"/>
      <c r="L38" s="282"/>
      <c r="M38" s="208"/>
      <c r="N38" s="282"/>
      <c r="O38" s="294">
        <v>0</v>
      </c>
      <c r="P38" s="282"/>
      <c r="Q38" s="52"/>
      <c r="R38" s="282"/>
      <c r="S38" s="294">
        <v>0</v>
      </c>
    </row>
    <row r="39" spans="1:19" ht="15" thickBot="1">
      <c r="A39" s="203"/>
      <c r="B39" s="203"/>
      <c r="C39" s="286">
        <v>436976</v>
      </c>
      <c r="D39" s="203"/>
      <c r="E39" s="286">
        <v>429864</v>
      </c>
      <c r="F39" s="293">
        <v>-7112</v>
      </c>
      <c r="G39" s="286">
        <v>353421</v>
      </c>
      <c r="H39" s="203"/>
      <c r="I39" s="286">
        <v>357620</v>
      </c>
      <c r="J39" s="295">
        <v>4199</v>
      </c>
      <c r="K39" s="203"/>
      <c r="L39" s="286">
        <v>444671</v>
      </c>
      <c r="M39" s="208"/>
      <c r="N39" s="286">
        <v>442421</v>
      </c>
      <c r="O39" s="294">
        <v>2250</v>
      </c>
      <c r="P39" s="286">
        <v>444671</v>
      </c>
      <c r="Q39" s="52"/>
      <c r="R39" s="286">
        <v>442421</v>
      </c>
      <c r="S39" s="294">
        <v>2250</v>
      </c>
    </row>
    <row r="40" spans="1:19">
      <c r="A40" s="203"/>
      <c r="B40" s="203"/>
      <c r="C40" s="282"/>
      <c r="D40" s="203"/>
      <c r="E40" s="203"/>
      <c r="F40" s="293">
        <v>0</v>
      </c>
      <c r="G40" s="282"/>
      <c r="H40" s="203"/>
      <c r="I40" s="282"/>
      <c r="J40" s="295">
        <v>0</v>
      </c>
      <c r="K40" s="203"/>
      <c r="L40" s="282"/>
      <c r="M40" s="208"/>
      <c r="N40" s="282"/>
      <c r="O40" s="294">
        <v>0</v>
      </c>
      <c r="P40" s="282"/>
      <c r="Q40" s="52"/>
      <c r="R40" s="282"/>
      <c r="S40" s="294">
        <v>0</v>
      </c>
    </row>
    <row r="41" spans="1:19" ht="15" thickBot="1">
      <c r="A41" s="208"/>
      <c r="B41" s="208"/>
      <c r="C41" s="282"/>
      <c r="D41" s="208"/>
      <c r="E41" s="283"/>
      <c r="F41" s="293">
        <v>0</v>
      </c>
      <c r="G41" s="282"/>
      <c r="H41" s="208"/>
      <c r="I41" s="283"/>
      <c r="J41" s="295">
        <v>0</v>
      </c>
      <c r="K41" s="208" t="s">
        <v>55</v>
      </c>
      <c r="L41" s="284"/>
      <c r="M41" s="208"/>
      <c r="N41" s="285"/>
      <c r="O41" s="294">
        <v>0</v>
      </c>
      <c r="P41" s="286">
        <v>3644</v>
      </c>
      <c r="Q41" s="224"/>
      <c r="R41" s="286">
        <v>3588</v>
      </c>
      <c r="S41" s="294">
        <v>56</v>
      </c>
    </row>
    <row r="42" spans="1:19">
      <c r="A42" s="208"/>
      <c r="B42" s="208"/>
      <c r="C42" s="282"/>
      <c r="D42" s="208"/>
      <c r="E42" s="283"/>
      <c r="F42" s="293">
        <v>0</v>
      </c>
      <c r="G42" s="282"/>
      <c r="H42" s="208"/>
      <c r="I42" s="283"/>
      <c r="J42" s="295">
        <v>0</v>
      </c>
      <c r="K42" s="208"/>
      <c r="L42" s="282"/>
      <c r="M42" s="208"/>
      <c r="N42" s="283"/>
      <c r="O42" s="294">
        <v>0</v>
      </c>
      <c r="P42" s="282"/>
      <c r="Q42" s="224"/>
      <c r="R42" s="283"/>
      <c r="S42" s="294">
        <v>0</v>
      </c>
    </row>
    <row r="43" spans="1:19" ht="15" thickBot="1">
      <c r="A43" s="208"/>
      <c r="B43" s="208"/>
      <c r="C43" s="284"/>
      <c r="D43" s="208"/>
      <c r="E43" s="285"/>
      <c r="F43" s="293">
        <v>0</v>
      </c>
      <c r="G43" s="284"/>
      <c r="H43" s="208"/>
      <c r="I43" s="285"/>
      <c r="J43" s="295">
        <v>0</v>
      </c>
      <c r="K43" s="208" t="s">
        <v>51</v>
      </c>
      <c r="L43" s="286">
        <v>444671</v>
      </c>
      <c r="M43" s="208"/>
      <c r="N43" s="286">
        <v>442421</v>
      </c>
      <c r="O43" s="294">
        <v>2250</v>
      </c>
      <c r="P43" s="286">
        <v>448315</v>
      </c>
      <c r="Q43" s="224"/>
      <c r="R43" s="286">
        <v>446009</v>
      </c>
      <c r="S43" s="294">
        <v>2306</v>
      </c>
    </row>
    <row r="44" spans="1:19">
      <c r="A44" s="208"/>
      <c r="B44" s="208"/>
      <c r="C44" s="282"/>
      <c r="D44" s="208"/>
      <c r="E44" s="283"/>
      <c r="F44" s="293">
        <v>0</v>
      </c>
      <c r="G44" s="282"/>
      <c r="H44" s="208"/>
      <c r="I44" s="283"/>
      <c r="J44" s="295">
        <v>0</v>
      </c>
      <c r="K44" s="208"/>
      <c r="L44" s="282"/>
      <c r="M44" s="208"/>
      <c r="N44" s="283"/>
      <c r="O44" s="294">
        <v>0</v>
      </c>
      <c r="P44" s="282"/>
      <c r="Q44" s="224"/>
      <c r="R44" s="283"/>
      <c r="S44" s="294">
        <v>0</v>
      </c>
    </row>
    <row r="45" spans="1:19" ht="15" thickBot="1">
      <c r="A45" s="208" t="s">
        <v>38</v>
      </c>
      <c r="B45" s="203"/>
      <c r="C45" s="289">
        <v>444746</v>
      </c>
      <c r="D45" s="203"/>
      <c r="E45" s="289">
        <v>447823</v>
      </c>
      <c r="F45" s="293">
        <v>3077</v>
      </c>
      <c r="G45" s="289">
        <v>789913</v>
      </c>
      <c r="H45" s="203"/>
      <c r="I45" s="289">
        <v>838610</v>
      </c>
      <c r="J45" s="295">
        <v>48697</v>
      </c>
      <c r="K45" s="208" t="s">
        <v>312</v>
      </c>
      <c r="L45" s="289">
        <v>444746</v>
      </c>
      <c r="M45" s="208"/>
      <c r="N45" s="289">
        <v>447823</v>
      </c>
      <c r="O45" s="294">
        <v>-3077</v>
      </c>
      <c r="P45" s="289">
        <v>789913</v>
      </c>
      <c r="Q45" s="52"/>
      <c r="R45" s="289">
        <v>838610</v>
      </c>
      <c r="S45" s="294">
        <v>-48697</v>
      </c>
    </row>
    <row r="46" spans="1:19" ht="15" thickTop="1">
      <c r="A46" s="290"/>
      <c r="L46" s="296">
        <v>0</v>
      </c>
      <c r="N46" s="296">
        <v>0</v>
      </c>
      <c r="P46" s="296">
        <v>0</v>
      </c>
      <c r="R46" s="296">
        <v>0</v>
      </c>
    </row>
    <row r="47" spans="1:19">
      <c r="A47" s="290"/>
    </row>
    <row r="48" spans="1:19">
      <c r="A48" s="290"/>
    </row>
    <row r="49" spans="1:1">
      <c r="A49" s="291" t="s">
        <v>313</v>
      </c>
    </row>
    <row r="50" spans="1:1">
      <c r="A50" s="291" t="s">
        <v>314</v>
      </c>
    </row>
  </sheetData>
  <mergeCells count="19">
    <mergeCell ref="O3:O4"/>
    <mergeCell ref="Q3:Q4"/>
    <mergeCell ref="R3:R4"/>
    <mergeCell ref="S3:S4"/>
    <mergeCell ref="P1:R1"/>
    <mergeCell ref="A3:A4"/>
    <mergeCell ref="B3:B4"/>
    <mergeCell ref="D3:D4"/>
    <mergeCell ref="E3:E4"/>
    <mergeCell ref="F3:F4"/>
    <mergeCell ref="C1:E1"/>
    <mergeCell ref="G1:I1"/>
    <mergeCell ref="L1:N1"/>
    <mergeCell ref="N3:N4"/>
    <mergeCell ref="H3:H4"/>
    <mergeCell ref="I3:I4"/>
    <mergeCell ref="J3:J4"/>
    <mergeCell ref="K3:K4"/>
    <mergeCell ref="M3:M4"/>
  </mergeCells>
  <pageMargins left="0.51181102362204722" right="0.51181102362204722" top="0.78740157480314965" bottom="0.78740157480314965" header="0.31496062992125984" footer="0.31496062992125984"/>
  <pageSetup paperSize="9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P45"/>
  <sheetViews>
    <sheetView workbookViewId="0">
      <selection activeCell="H3" sqref="H3"/>
    </sheetView>
  </sheetViews>
  <sheetFormatPr defaultRowHeight="14.4"/>
  <cols>
    <col min="1" max="1" width="49.5546875" bestFit="1" customWidth="1"/>
    <col min="3" max="3" width="2.88671875" customWidth="1"/>
    <col min="5" max="5" width="2.88671875" customWidth="1"/>
    <col min="6" max="6" width="9.88671875" bestFit="1" customWidth="1"/>
    <col min="7" max="7" width="2.5546875" customWidth="1"/>
    <col min="9" max="10" width="9.109375" style="102"/>
    <col min="14" max="14" width="14.109375" bestFit="1" customWidth="1"/>
    <col min="16" max="16" width="10.88671875" bestFit="1" customWidth="1"/>
  </cols>
  <sheetData>
    <row r="1" spans="1:10" ht="15" thickBot="1">
      <c r="A1" s="203"/>
      <c r="B1" s="402" t="s">
        <v>264</v>
      </c>
      <c r="C1" s="402"/>
      <c r="D1" s="402"/>
      <c r="E1" s="52"/>
      <c r="F1" s="402" t="s">
        <v>265</v>
      </c>
      <c r="G1" s="402"/>
      <c r="H1" s="402"/>
    </row>
    <row r="2" spans="1:10">
      <c r="A2" s="203"/>
      <c r="B2" s="52"/>
      <c r="C2" s="204"/>
      <c r="D2" s="205"/>
      <c r="E2" s="52"/>
      <c r="F2" s="52"/>
      <c r="G2" s="204"/>
      <c r="H2" s="205"/>
    </row>
    <row r="3" spans="1:10" ht="15" thickBot="1">
      <c r="A3" s="203"/>
      <c r="B3" s="206"/>
      <c r="C3" s="52"/>
      <c r="D3" s="206">
        <v>2013</v>
      </c>
      <c r="E3" s="52"/>
      <c r="F3" s="206"/>
      <c r="G3" s="52"/>
      <c r="H3" s="206">
        <v>2013</v>
      </c>
      <c r="I3" s="207">
        <v>2012</v>
      </c>
      <c r="J3" s="207">
        <v>2013</v>
      </c>
    </row>
    <row r="4" spans="1:10">
      <c r="A4" s="203"/>
      <c r="B4" s="52"/>
      <c r="C4" s="52"/>
      <c r="D4" s="52"/>
      <c r="E4" s="52"/>
      <c r="F4" s="52"/>
      <c r="G4" s="52"/>
      <c r="H4" s="52"/>
    </row>
    <row r="5" spans="1:10">
      <c r="A5" s="208" t="s">
        <v>266</v>
      </c>
      <c r="B5" s="209"/>
      <c r="C5" s="209"/>
      <c r="D5" s="209"/>
      <c r="E5" s="209"/>
      <c r="F5" s="210">
        <v>67326</v>
      </c>
      <c r="G5" s="209"/>
      <c r="H5" s="211">
        <v>59182</v>
      </c>
    </row>
    <row r="6" spans="1:10" ht="15" thickBot="1">
      <c r="A6" s="208" t="s">
        <v>267</v>
      </c>
      <c r="B6" s="212"/>
      <c r="C6" s="209"/>
      <c r="D6" s="212"/>
      <c r="E6" s="209"/>
      <c r="F6" s="213">
        <v>-30550</v>
      </c>
      <c r="G6" s="214"/>
      <c r="H6" s="213">
        <v>-27197</v>
      </c>
      <c r="I6" s="102">
        <f>H6/H5</f>
        <v>-0.45954851137170083</v>
      </c>
      <c r="J6" s="102">
        <f>F6/F5</f>
        <v>-0.45376229094257792</v>
      </c>
    </row>
    <row r="7" spans="1:10">
      <c r="A7" s="203"/>
      <c r="B7" s="209"/>
      <c r="C7" s="209"/>
      <c r="D7" s="209"/>
      <c r="E7" s="209"/>
      <c r="F7" s="210"/>
      <c r="G7" s="209"/>
      <c r="H7" s="209"/>
    </row>
    <row r="8" spans="1:10">
      <c r="A8" s="215" t="s">
        <v>257</v>
      </c>
      <c r="B8" s="209"/>
      <c r="C8" s="209"/>
      <c r="D8" s="209"/>
      <c r="E8" s="209"/>
      <c r="F8" s="210">
        <f>SUM(F5:F7)</f>
        <v>36776</v>
      </c>
      <c r="G8" s="209"/>
      <c r="H8" s="210">
        <f>SUM(H5:H7)</f>
        <v>31985</v>
      </c>
      <c r="I8" s="102">
        <f>H8/$H$5</f>
        <v>0.54045148862829917</v>
      </c>
      <c r="J8" s="102">
        <f>F8/$F$5</f>
        <v>0.54623770905742208</v>
      </c>
    </row>
    <row r="9" spans="1:10">
      <c r="A9" s="208" t="s">
        <v>268</v>
      </c>
      <c r="B9" s="214"/>
      <c r="C9" s="214"/>
      <c r="D9" s="214"/>
      <c r="E9" s="214"/>
      <c r="F9" s="214">
        <v>-24076</v>
      </c>
      <c r="G9" s="214"/>
      <c r="H9" s="214">
        <v>-23110</v>
      </c>
      <c r="I9" s="102">
        <f t="shared" ref="I9:I25" si="0">H9/$H$5</f>
        <v>-0.39049035179615421</v>
      </c>
      <c r="J9" s="102">
        <f t="shared" ref="J9:J25" si="1">F9/$F$5</f>
        <v>-0.35760330333006562</v>
      </c>
    </row>
    <row r="10" spans="1:10">
      <c r="A10" s="208" t="s">
        <v>269</v>
      </c>
      <c r="B10" s="214">
        <v>-235</v>
      </c>
      <c r="C10" s="214"/>
      <c r="D10" s="216">
        <v>-212</v>
      </c>
      <c r="E10" s="214"/>
      <c r="F10" s="214">
        <v>-8784</v>
      </c>
      <c r="G10" s="214"/>
      <c r="H10" s="214">
        <v>-9158</v>
      </c>
      <c r="I10" s="102">
        <f t="shared" si="0"/>
        <v>-0.15474299618127133</v>
      </c>
      <c r="J10" s="102">
        <f t="shared" si="1"/>
        <v>-0.13046965511095268</v>
      </c>
    </row>
    <row r="11" spans="1:10">
      <c r="A11" s="208" t="s">
        <v>270</v>
      </c>
      <c r="B11" s="214">
        <v>0</v>
      </c>
      <c r="C11" s="214"/>
      <c r="D11" s="216"/>
      <c r="E11" s="214"/>
      <c r="F11" s="214">
        <v>-5400</v>
      </c>
      <c r="G11" s="214"/>
      <c r="H11" s="214">
        <v>-5783</v>
      </c>
      <c r="I11" s="102">
        <f t="shared" si="0"/>
        <v>-9.7715521611300732E-2</v>
      </c>
      <c r="J11" s="102">
        <f t="shared" si="1"/>
        <v>-8.020675519115944E-2</v>
      </c>
    </row>
    <row r="12" spans="1:10" ht="15" thickBot="1">
      <c r="A12" s="208" t="s">
        <v>271</v>
      </c>
      <c r="B12" s="213">
        <v>-5189</v>
      </c>
      <c r="C12" s="217"/>
      <c r="D12" s="218">
        <v>-7607</v>
      </c>
      <c r="E12" s="209"/>
      <c r="F12" s="219"/>
      <c r="G12" s="209"/>
      <c r="H12" s="212"/>
      <c r="I12" s="102">
        <f t="shared" si="0"/>
        <v>0</v>
      </c>
      <c r="J12" s="102">
        <f t="shared" si="1"/>
        <v>0</v>
      </c>
    </row>
    <row r="13" spans="1:10">
      <c r="A13" s="203"/>
      <c r="B13" s="210"/>
      <c r="C13" s="217"/>
      <c r="D13" s="210"/>
      <c r="E13" s="209"/>
      <c r="F13" s="210"/>
      <c r="G13" s="209"/>
      <c r="H13" s="209"/>
      <c r="I13" s="102">
        <f t="shared" si="0"/>
        <v>0</v>
      </c>
      <c r="J13" s="102">
        <f t="shared" si="1"/>
        <v>0</v>
      </c>
    </row>
    <row r="14" spans="1:10">
      <c r="A14" s="215" t="s">
        <v>272</v>
      </c>
      <c r="B14" s="214">
        <f>SUM(B8:B12)</f>
        <v>-5424</v>
      </c>
      <c r="C14" s="214"/>
      <c r="D14" s="214">
        <f>SUM(D8:D12)</f>
        <v>-7819</v>
      </c>
      <c r="E14" s="214"/>
      <c r="F14" s="214">
        <f>SUM(F8:F12)</f>
        <v>-1484</v>
      </c>
      <c r="G14" s="214"/>
      <c r="H14" s="214">
        <f>SUM(H8:H12)</f>
        <v>-6066</v>
      </c>
      <c r="I14" s="102">
        <f t="shared" si="0"/>
        <v>-0.10249738096042715</v>
      </c>
      <c r="J14" s="102">
        <f t="shared" si="1"/>
        <v>-2.2042004574755667E-2</v>
      </c>
    </row>
    <row r="15" spans="1:10">
      <c r="A15" s="208" t="s">
        <v>258</v>
      </c>
      <c r="B15" s="214">
        <v>21</v>
      </c>
      <c r="C15" s="214"/>
      <c r="D15" s="220">
        <v>98</v>
      </c>
      <c r="E15" s="214"/>
      <c r="F15" s="214">
        <v>6370</v>
      </c>
      <c r="G15" s="214"/>
      <c r="H15" s="221">
        <v>3957</v>
      </c>
      <c r="I15" s="102">
        <f t="shared" si="0"/>
        <v>6.6861545740258863E-2</v>
      </c>
      <c r="J15" s="102">
        <f t="shared" si="1"/>
        <v>9.4614264919941779E-2</v>
      </c>
    </row>
    <row r="16" spans="1:10" ht="15" thickBot="1">
      <c r="A16" s="208" t="s">
        <v>259</v>
      </c>
      <c r="B16" s="213"/>
      <c r="C16" s="214"/>
      <c r="D16" s="213"/>
      <c r="E16" s="214"/>
      <c r="F16" s="213">
        <v>-8870</v>
      </c>
      <c r="G16" s="214"/>
      <c r="H16" s="213">
        <v>-2569</v>
      </c>
      <c r="I16" s="102">
        <f t="shared" si="0"/>
        <v>-4.3408468791186511E-2</v>
      </c>
      <c r="J16" s="102">
        <f t="shared" si="1"/>
        <v>-0.13174702195288596</v>
      </c>
    </row>
    <row r="17" spans="1:10">
      <c r="A17" s="203"/>
      <c r="B17" s="210"/>
      <c r="C17" s="217"/>
      <c r="D17" s="210"/>
      <c r="E17" s="209"/>
      <c r="F17" s="210"/>
      <c r="G17" s="209"/>
      <c r="H17" s="209"/>
      <c r="I17" s="102">
        <f t="shared" si="0"/>
        <v>0</v>
      </c>
      <c r="J17" s="102">
        <f t="shared" si="1"/>
        <v>0</v>
      </c>
    </row>
    <row r="18" spans="1:10" ht="15" thickBot="1">
      <c r="A18" s="215" t="s">
        <v>273</v>
      </c>
      <c r="B18" s="219">
        <f>SUM(B15:B16)</f>
        <v>21</v>
      </c>
      <c r="C18" s="217"/>
      <c r="D18" s="219">
        <f>SUM(D15:D16)</f>
        <v>98</v>
      </c>
      <c r="E18" s="209"/>
      <c r="F18" s="219">
        <f>SUM(F15:F16)</f>
        <v>-2500</v>
      </c>
      <c r="G18" s="209"/>
      <c r="H18" s="219">
        <f>SUM(H15:H16)</f>
        <v>1388</v>
      </c>
      <c r="I18" s="102">
        <f t="shared" si="0"/>
        <v>2.3453076949072352E-2</v>
      </c>
      <c r="J18" s="102">
        <f t="shared" si="1"/>
        <v>-3.7132757032944184E-2</v>
      </c>
    </row>
    <row r="19" spans="1:10">
      <c r="A19" s="203"/>
      <c r="B19" s="210"/>
      <c r="C19" s="217"/>
      <c r="D19" s="210"/>
      <c r="E19" s="209"/>
      <c r="F19" s="210"/>
      <c r="G19" s="209"/>
      <c r="H19" s="209"/>
      <c r="I19" s="102">
        <f t="shared" si="0"/>
        <v>0</v>
      </c>
      <c r="J19" s="102">
        <f t="shared" si="1"/>
        <v>0</v>
      </c>
    </row>
    <row r="20" spans="1:10">
      <c r="A20" s="215" t="s">
        <v>260</v>
      </c>
      <c r="B20" s="214">
        <f>B14+B18</f>
        <v>-5403</v>
      </c>
      <c r="C20" s="214"/>
      <c r="D20" s="214">
        <f>D14+D18</f>
        <v>-7721</v>
      </c>
      <c r="E20" s="214"/>
      <c r="F20" s="214">
        <f>F14+F18</f>
        <v>-3984</v>
      </c>
      <c r="G20" s="214"/>
      <c r="H20" s="214">
        <f>H14+H18</f>
        <v>-4678</v>
      </c>
      <c r="I20" s="102">
        <f t="shared" si="0"/>
        <v>-7.9044304011354802E-2</v>
      </c>
      <c r="J20" s="102">
        <f t="shared" si="1"/>
        <v>-5.9174761607699848E-2</v>
      </c>
    </row>
    <row r="21" spans="1:10">
      <c r="A21" s="208" t="s">
        <v>261</v>
      </c>
      <c r="B21" s="214"/>
      <c r="C21" s="214"/>
      <c r="D21" s="214"/>
      <c r="E21" s="214"/>
      <c r="F21" s="214"/>
      <c r="G21" s="214"/>
      <c r="H21" s="214"/>
      <c r="I21" s="102">
        <f t="shared" si="0"/>
        <v>0</v>
      </c>
      <c r="J21" s="102">
        <f t="shared" si="1"/>
        <v>0</v>
      </c>
    </row>
    <row r="22" spans="1:10">
      <c r="A22" s="208" t="s">
        <v>274</v>
      </c>
      <c r="B22" s="214"/>
      <c r="C22" s="214"/>
      <c r="D22" s="214"/>
      <c r="E22" s="214"/>
      <c r="F22" s="214">
        <v>-2049</v>
      </c>
      <c r="G22" s="214"/>
      <c r="H22" s="221">
        <v>-921</v>
      </c>
      <c r="I22" s="102">
        <f t="shared" si="0"/>
        <v>-1.5562164171538644E-2</v>
      </c>
      <c r="J22" s="102">
        <f t="shared" si="1"/>
        <v>-3.0434007664201051E-2</v>
      </c>
    </row>
    <row r="23" spans="1:10" ht="15" thickBot="1">
      <c r="A23" s="208" t="s">
        <v>275</v>
      </c>
      <c r="B23" s="213"/>
      <c r="C23" s="214"/>
      <c r="D23" s="213"/>
      <c r="E23" s="214"/>
      <c r="F23" s="213">
        <v>615</v>
      </c>
      <c r="G23" s="214"/>
      <c r="H23" s="213">
        <v>-2163</v>
      </c>
      <c r="I23" s="102">
        <f t="shared" si="0"/>
        <v>-3.6548274813287825E-2</v>
      </c>
      <c r="J23" s="102">
        <f t="shared" si="1"/>
        <v>9.1346582301042693E-3</v>
      </c>
    </row>
    <row r="24" spans="1:10">
      <c r="A24" s="203"/>
      <c r="B24" s="210"/>
      <c r="C24" s="217"/>
      <c r="D24" s="210"/>
      <c r="E24" s="209"/>
      <c r="F24" s="210"/>
      <c r="G24" s="209"/>
      <c r="H24" s="209"/>
      <c r="I24" s="102">
        <f t="shared" si="0"/>
        <v>0</v>
      </c>
      <c r="J24" s="102">
        <f t="shared" si="1"/>
        <v>0</v>
      </c>
    </row>
    <row r="25" spans="1:10" ht="15" thickBot="1">
      <c r="A25" s="215" t="s">
        <v>276</v>
      </c>
      <c r="B25" s="222">
        <f>SUM(B20:B24)</f>
        <v>-5403</v>
      </c>
      <c r="C25" s="217"/>
      <c r="D25" s="222">
        <f>SUM(D20:D24)</f>
        <v>-7721</v>
      </c>
      <c r="E25" s="209"/>
      <c r="F25" s="222">
        <f>SUM(F20:F24)</f>
        <v>-5418</v>
      </c>
      <c r="G25" s="209"/>
      <c r="H25" s="222">
        <f>SUM(H20:H24)</f>
        <v>-7762</v>
      </c>
      <c r="I25" s="102">
        <f t="shared" si="0"/>
        <v>-0.13115474299618127</v>
      </c>
      <c r="J25" s="102">
        <f t="shared" si="1"/>
        <v>-8.0474111041796637E-2</v>
      </c>
    </row>
    <row r="26" spans="1:10" ht="15" thickTop="1">
      <c r="A26" s="203"/>
      <c r="B26" s="210"/>
      <c r="C26" s="217"/>
      <c r="D26" s="210"/>
      <c r="E26" s="209"/>
      <c r="F26" s="210"/>
      <c r="G26" s="209"/>
      <c r="H26" s="209"/>
    </row>
    <row r="27" spans="1:10">
      <c r="A27" s="203"/>
      <c r="B27" s="210"/>
      <c r="C27" s="217"/>
      <c r="D27" s="210"/>
      <c r="E27" s="209"/>
      <c r="F27" s="209"/>
      <c r="G27" s="209"/>
      <c r="H27" s="209"/>
    </row>
    <row r="28" spans="1:10">
      <c r="A28" s="215" t="s">
        <v>262</v>
      </c>
      <c r="B28" s="407"/>
      <c r="C28" s="408"/>
      <c r="D28" s="407"/>
      <c r="E28" s="404"/>
      <c r="F28" s="214"/>
      <c r="G28" s="214"/>
      <c r="H28" s="214"/>
    </row>
    <row r="29" spans="1:10">
      <c r="A29" s="215"/>
      <c r="B29" s="407"/>
      <c r="C29" s="408"/>
      <c r="D29" s="407"/>
      <c r="E29" s="404"/>
      <c r="F29" s="214"/>
      <c r="G29" s="214"/>
      <c r="H29" s="214"/>
    </row>
    <row r="30" spans="1:10">
      <c r="A30" s="208" t="s">
        <v>263</v>
      </c>
      <c r="B30" s="407"/>
      <c r="C30" s="408"/>
      <c r="D30" s="407"/>
      <c r="E30" s="404"/>
      <c r="F30" s="214">
        <v>-5403</v>
      </c>
      <c r="G30" s="214"/>
      <c r="H30" s="211">
        <v>-7721</v>
      </c>
    </row>
    <row r="31" spans="1:10">
      <c r="A31" s="208" t="s">
        <v>70</v>
      </c>
      <c r="B31" s="223"/>
      <c r="C31" s="224"/>
      <c r="D31" s="223"/>
      <c r="E31" s="52"/>
      <c r="F31" s="214">
        <v>-15</v>
      </c>
      <c r="G31" s="214"/>
      <c r="H31" s="216">
        <v>-41</v>
      </c>
    </row>
    <row r="32" spans="1:10" ht="15" thickBot="1">
      <c r="A32" s="203"/>
      <c r="B32" s="223"/>
      <c r="C32" s="224"/>
      <c r="D32" s="223"/>
      <c r="E32" s="52"/>
      <c r="F32" s="225"/>
      <c r="G32" s="52"/>
      <c r="H32" s="225"/>
    </row>
    <row r="33" spans="1:16">
      <c r="A33" s="203"/>
      <c r="B33" s="223"/>
      <c r="C33" s="224"/>
      <c r="D33" s="223"/>
      <c r="E33" s="52"/>
      <c r="F33" s="52"/>
      <c r="G33" s="52"/>
      <c r="H33" s="52"/>
    </row>
    <row r="34" spans="1:16" ht="15" thickBot="1">
      <c r="A34" s="203"/>
      <c r="B34" s="223"/>
      <c r="C34" s="224"/>
      <c r="D34" s="223"/>
      <c r="E34" s="52"/>
      <c r="F34" s="226">
        <f>SUM(F28:F32)</f>
        <v>-5418</v>
      </c>
      <c r="G34" s="52"/>
      <c r="H34" s="226">
        <f>SUM(H28:H32)</f>
        <v>-7762</v>
      </c>
    </row>
    <row r="35" spans="1:16" ht="109.5" customHeight="1" thickTop="1">
      <c r="A35" s="204" t="s">
        <v>277</v>
      </c>
      <c r="B35" s="223"/>
      <c r="C35" s="224"/>
      <c r="D35" s="223"/>
      <c r="E35" s="52"/>
      <c r="F35" s="52"/>
      <c r="G35" s="52"/>
      <c r="H35" s="52"/>
    </row>
    <row r="36" spans="1:16" ht="48.75" customHeight="1">
      <c r="A36" s="204" t="s">
        <v>278</v>
      </c>
      <c r="B36" s="223"/>
      <c r="C36" s="224"/>
      <c r="D36" s="223"/>
      <c r="E36" s="52"/>
      <c r="F36" s="52"/>
      <c r="G36" s="52"/>
      <c r="H36" s="52"/>
    </row>
    <row r="37" spans="1:16">
      <c r="A37" s="52"/>
      <c r="B37" s="223"/>
      <c r="C37" s="224"/>
      <c r="D37" s="223"/>
      <c r="E37" s="52"/>
      <c r="F37" s="52"/>
      <c r="G37" s="52"/>
      <c r="H37" s="52"/>
      <c r="L37" t="s">
        <v>279</v>
      </c>
    </row>
    <row r="38" spans="1:16">
      <c r="A38" s="215" t="s">
        <v>280</v>
      </c>
      <c r="B38" s="223"/>
      <c r="C38" s="224"/>
      <c r="D38" s="223"/>
      <c r="E38" s="52"/>
      <c r="F38" s="52"/>
      <c r="G38" s="52"/>
      <c r="H38" s="52"/>
      <c r="L38" t="s">
        <v>281</v>
      </c>
      <c r="N38" s="202">
        <v>77473553.7675841</v>
      </c>
      <c r="O38" t="s">
        <v>282</v>
      </c>
      <c r="P38" s="227">
        <v>41639</v>
      </c>
    </row>
    <row r="39" spans="1:16" ht="15" thickBot="1">
      <c r="A39" s="208" t="s">
        <v>283</v>
      </c>
      <c r="B39" s="223"/>
      <c r="C39" s="224"/>
      <c r="D39" s="223"/>
      <c r="E39" s="52"/>
      <c r="F39" s="228">
        <f>F30/(N38/1000)</f>
        <v>-6.973992720417431E-2</v>
      </c>
      <c r="G39" s="52"/>
      <c r="H39" s="229">
        <v>-0.108</v>
      </c>
      <c r="L39" t="s">
        <v>284</v>
      </c>
      <c r="N39" s="202"/>
    </row>
    <row r="40" spans="1:16" ht="15" thickTop="1">
      <c r="A40" s="203"/>
      <c r="B40" s="52"/>
      <c r="C40" s="52"/>
      <c r="D40" s="52"/>
      <c r="E40" s="52"/>
      <c r="F40" s="230"/>
      <c r="G40" s="52"/>
      <c r="H40" s="52"/>
      <c r="L40" t="s">
        <v>285</v>
      </c>
      <c r="N40" s="202">
        <v>3050178.8136986303</v>
      </c>
    </row>
    <row r="41" spans="1:16">
      <c r="A41" s="215" t="s">
        <v>286</v>
      </c>
      <c r="B41" s="52"/>
      <c r="C41" s="52"/>
      <c r="D41" s="52"/>
      <c r="E41" s="52"/>
      <c r="F41" s="230"/>
      <c r="G41" s="52"/>
      <c r="H41" s="52"/>
    </row>
    <row r="42" spans="1:16" ht="15" thickBot="1">
      <c r="A42" s="208" t="s">
        <v>287</v>
      </c>
      <c r="B42" s="52"/>
      <c r="C42" s="52"/>
      <c r="D42" s="52"/>
      <c r="E42" s="52"/>
      <c r="F42" s="228">
        <f>F30/(N42/1000)</f>
        <v>-6.7098230879276147E-2</v>
      </c>
      <c r="G42" s="52"/>
      <c r="H42" s="229">
        <v>-9.6000000000000002E-2</v>
      </c>
      <c r="L42" t="s">
        <v>288</v>
      </c>
      <c r="N42" s="231">
        <f>SUM(N38:N40)</f>
        <v>80523732.581282735</v>
      </c>
    </row>
    <row r="43" spans="1:16" ht="15" thickTop="1">
      <c r="F43" s="232"/>
    </row>
    <row r="44" spans="1:16">
      <c r="F44" s="232"/>
      <c r="L44" t="s">
        <v>289</v>
      </c>
      <c r="N44" s="233">
        <f>G36/(N38/1000)</f>
        <v>0</v>
      </c>
    </row>
    <row r="45" spans="1:16">
      <c r="L45" t="s">
        <v>290</v>
      </c>
      <c r="N45" s="233">
        <f>G36/(N42/1000)</f>
        <v>0</v>
      </c>
    </row>
  </sheetData>
  <mergeCells count="6">
    <mergeCell ref="B1:D1"/>
    <mergeCell ref="F1:H1"/>
    <mergeCell ref="B28:B30"/>
    <mergeCell ref="C28:C30"/>
    <mergeCell ref="D28:D30"/>
    <mergeCell ref="E28:E30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A1:AK273"/>
  <sheetViews>
    <sheetView workbookViewId="0">
      <selection activeCell="A29" sqref="A29"/>
    </sheetView>
  </sheetViews>
  <sheetFormatPr defaultColWidth="9.109375" defaultRowHeight="13.2"/>
  <cols>
    <col min="1" max="1" width="56.88671875" style="103" bestFit="1" customWidth="1"/>
    <col min="2" max="2" width="2.88671875" style="103" customWidth="1"/>
    <col min="3" max="3" width="10.88671875" style="103" bestFit="1" customWidth="1"/>
    <col min="4" max="4" width="7.5546875" style="103" bestFit="1" customWidth="1"/>
    <col min="5" max="5" width="9.109375" style="103" bestFit="1" customWidth="1"/>
    <col min="6" max="6" width="9.88671875" style="103" bestFit="1" customWidth="1"/>
    <col min="7" max="7" width="7.109375" style="103" bestFit="1" customWidth="1"/>
    <col min="8" max="8" width="9.109375" style="103" bestFit="1" customWidth="1"/>
    <col min="9" max="9" width="10.109375" style="103" bestFit="1" customWidth="1"/>
    <col min="10" max="10" width="15.88671875" style="103" customWidth="1"/>
    <col min="11" max="11" width="16.5546875" style="103" customWidth="1"/>
    <col min="12" max="12" width="14.5546875" style="103" customWidth="1"/>
    <col min="13" max="14" width="14.5546875" style="103" hidden="1" customWidth="1"/>
    <col min="15" max="15" width="9.109375" style="103" hidden="1" customWidth="1"/>
    <col min="16" max="16" width="15.44140625" style="103" hidden="1" customWidth="1"/>
    <col min="17" max="18" width="9.109375" style="103" hidden="1" customWidth="1"/>
    <col min="19" max="19" width="4.88671875" style="103" hidden="1" customWidth="1"/>
    <col min="20" max="20" width="41.109375" style="103" hidden="1" customWidth="1"/>
    <col min="21" max="21" width="12.88671875" style="103" hidden="1" customWidth="1"/>
    <col min="22" max="22" width="26.109375" style="103" hidden="1" customWidth="1"/>
    <col min="23" max="23" width="4.88671875" style="103" hidden="1" customWidth="1"/>
    <col min="24" max="25" width="11" style="103" hidden="1" customWidth="1"/>
    <col min="26" max="26" width="0" style="103" hidden="1" customWidth="1"/>
    <col min="27" max="27" width="43" style="103" customWidth="1"/>
    <col min="28" max="28" width="4" style="103" customWidth="1"/>
    <col min="29" max="29" width="10.109375" style="103" bestFit="1" customWidth="1"/>
    <col min="30" max="16384" width="9.109375" style="103"/>
  </cols>
  <sheetData>
    <row r="1" spans="1:18">
      <c r="A1" s="182" t="s">
        <v>71</v>
      </c>
      <c r="B1" s="154"/>
      <c r="C1" s="154"/>
      <c r="D1" s="154"/>
      <c r="E1" s="154"/>
      <c r="F1" s="154"/>
      <c r="G1" s="154"/>
      <c r="H1" s="154"/>
      <c r="I1" s="154"/>
      <c r="J1" s="154"/>
      <c r="K1" s="170">
        <v>41743.60204849537</v>
      </c>
      <c r="L1" s="154"/>
      <c r="M1" s="154"/>
      <c r="N1" s="154"/>
      <c r="O1" s="154"/>
      <c r="P1" s="154"/>
      <c r="Q1" s="154"/>
      <c r="R1" s="154"/>
    </row>
    <row r="2" spans="1:18">
      <c r="A2" s="182" t="s">
        <v>72</v>
      </c>
      <c r="B2" s="154"/>
      <c r="C2" s="169">
        <v>41729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</row>
    <row r="3" spans="1:18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</row>
    <row r="4" spans="1:18">
      <c r="A4" s="154"/>
      <c r="B4" s="154"/>
      <c r="C4" s="195" t="s">
        <v>73</v>
      </c>
      <c r="D4" s="154" t="s">
        <v>74</v>
      </c>
      <c r="E4" s="165" t="s">
        <v>75</v>
      </c>
      <c r="F4" s="165" t="s">
        <v>76</v>
      </c>
      <c r="G4" s="165" t="s">
        <v>77</v>
      </c>
      <c r="H4" s="175" t="s">
        <v>78</v>
      </c>
      <c r="I4" s="154" t="s">
        <v>79</v>
      </c>
      <c r="J4" s="183" t="s">
        <v>80</v>
      </c>
      <c r="K4" s="165" t="s">
        <v>81</v>
      </c>
      <c r="L4" s="154"/>
      <c r="M4" s="154"/>
      <c r="N4" s="154"/>
      <c r="O4" s="154"/>
      <c r="P4" s="154"/>
      <c r="Q4" s="154"/>
      <c r="R4" s="154"/>
    </row>
    <row r="5" spans="1:18">
      <c r="A5" s="154" t="s">
        <v>82</v>
      </c>
      <c r="B5" s="154"/>
      <c r="C5" s="196">
        <v>41729</v>
      </c>
      <c r="D5" s="166">
        <v>41729</v>
      </c>
      <c r="E5" s="192">
        <v>41729</v>
      </c>
      <c r="F5" s="192">
        <v>41729</v>
      </c>
      <c r="G5" s="192">
        <v>41729</v>
      </c>
      <c r="H5" s="192">
        <v>41729</v>
      </c>
      <c r="I5" s="192">
        <v>41729</v>
      </c>
      <c r="J5" s="184" t="s">
        <v>83</v>
      </c>
      <c r="K5" s="167" t="s">
        <v>84</v>
      </c>
      <c r="L5" s="199" t="s">
        <v>85</v>
      </c>
      <c r="M5" s="168" t="s">
        <v>86</v>
      </c>
      <c r="N5" s="168" t="s">
        <v>73</v>
      </c>
      <c r="O5" s="168" t="s">
        <v>87</v>
      </c>
      <c r="P5" s="168" t="s">
        <v>75</v>
      </c>
      <c r="Q5" s="168" t="s">
        <v>88</v>
      </c>
      <c r="R5" s="171" t="s">
        <v>89</v>
      </c>
    </row>
    <row r="7" spans="1:18">
      <c r="A7" s="154"/>
      <c r="B7" s="154"/>
      <c r="C7" s="186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</row>
    <row r="8" spans="1:18">
      <c r="A8" s="154"/>
      <c r="B8" s="155"/>
      <c r="C8" s="155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</row>
    <row r="9" spans="1:18">
      <c r="A9" s="154" t="s">
        <v>90</v>
      </c>
      <c r="B9" s="155"/>
      <c r="C9" s="155">
        <v>47067</v>
      </c>
      <c r="D9" s="155">
        <v>6</v>
      </c>
      <c r="E9" s="155">
        <v>3228</v>
      </c>
      <c r="F9" s="155">
        <v>1623</v>
      </c>
      <c r="G9" s="155">
        <v>-2</v>
      </c>
      <c r="H9" s="155">
        <v>0</v>
      </c>
      <c r="I9" s="155">
        <v>51922</v>
      </c>
      <c r="J9" s="155"/>
      <c r="K9" s="162"/>
      <c r="L9" s="162">
        <v>51922</v>
      </c>
      <c r="M9" s="162"/>
      <c r="N9" s="162">
        <v>47067</v>
      </c>
      <c r="O9" s="162"/>
      <c r="P9" s="162">
        <v>3228</v>
      </c>
      <c r="Q9" s="162"/>
      <c r="R9" s="162">
        <v>1623</v>
      </c>
    </row>
    <row r="10" spans="1:18">
      <c r="A10" s="154" t="s">
        <v>91</v>
      </c>
      <c r="B10" s="155"/>
      <c r="C10" s="186">
        <v>2765</v>
      </c>
      <c r="D10" s="155">
        <v>6</v>
      </c>
      <c r="E10" s="155">
        <v>2436</v>
      </c>
      <c r="F10" s="155">
        <v>1623</v>
      </c>
      <c r="G10" s="155">
        <v>-2</v>
      </c>
      <c r="H10" s="155"/>
      <c r="I10" s="162">
        <v>6828</v>
      </c>
      <c r="J10" s="162"/>
      <c r="K10" s="154"/>
      <c r="L10" s="162">
        <v>6828</v>
      </c>
      <c r="M10" s="162"/>
      <c r="N10" s="162">
        <v>2765</v>
      </c>
      <c r="O10" s="162"/>
      <c r="P10" s="162">
        <v>2436</v>
      </c>
      <c r="Q10" s="162"/>
      <c r="R10" s="162">
        <v>1623</v>
      </c>
    </row>
    <row r="11" spans="1:18">
      <c r="A11" s="154" t="s">
        <v>92</v>
      </c>
      <c r="B11" s="155"/>
      <c r="C11" s="174">
        <v>44302</v>
      </c>
      <c r="D11" s="154"/>
      <c r="E11" s="155">
        <v>792</v>
      </c>
      <c r="F11" s="155"/>
      <c r="G11" s="155"/>
      <c r="H11" s="155"/>
      <c r="I11" s="162">
        <v>45094</v>
      </c>
      <c r="J11" s="162"/>
      <c r="K11" s="154"/>
      <c r="L11" s="162">
        <v>45094</v>
      </c>
      <c r="M11" s="162"/>
      <c r="N11" s="162">
        <v>44302</v>
      </c>
      <c r="O11" s="162"/>
      <c r="P11" s="162">
        <v>792</v>
      </c>
      <c r="Q11" s="162"/>
      <c r="R11" s="162">
        <v>0</v>
      </c>
    </row>
    <row r="12" spans="1:18">
      <c r="A12" s="161" t="s">
        <v>93</v>
      </c>
      <c r="B12" s="155"/>
      <c r="C12" s="155"/>
      <c r="D12" s="154"/>
      <c r="E12" s="155"/>
      <c r="F12" s="155"/>
      <c r="G12" s="155"/>
      <c r="H12" s="155"/>
      <c r="I12" s="162">
        <v>0</v>
      </c>
      <c r="J12" s="162"/>
      <c r="K12" s="154"/>
      <c r="L12" s="162">
        <v>0</v>
      </c>
      <c r="M12" s="162"/>
      <c r="N12" s="162">
        <v>0</v>
      </c>
      <c r="O12" s="162"/>
      <c r="P12" s="162">
        <v>0</v>
      </c>
      <c r="Q12" s="162"/>
      <c r="R12" s="162">
        <v>0</v>
      </c>
    </row>
    <row r="13" spans="1:18">
      <c r="A13" s="154" t="s">
        <v>94</v>
      </c>
      <c r="B13" s="155"/>
      <c r="C13" s="190">
        <v>196506</v>
      </c>
      <c r="D13" s="154"/>
      <c r="E13" s="155">
        <v>2697</v>
      </c>
      <c r="F13" s="154"/>
      <c r="G13" s="155">
        <v>239</v>
      </c>
      <c r="H13" s="155"/>
      <c r="I13" s="162">
        <v>199442</v>
      </c>
      <c r="J13" s="162"/>
      <c r="K13" s="155">
        <v>6013</v>
      </c>
      <c r="L13" s="162">
        <v>193429</v>
      </c>
      <c r="M13" s="162"/>
      <c r="N13" s="162">
        <v>196506</v>
      </c>
      <c r="O13" s="162"/>
      <c r="P13" s="162">
        <v>2697</v>
      </c>
      <c r="Q13" s="162"/>
      <c r="R13" s="162">
        <v>0</v>
      </c>
    </row>
    <row r="14" spans="1:18">
      <c r="A14" s="154" t="s">
        <v>95</v>
      </c>
      <c r="B14" s="155"/>
      <c r="C14" s="190">
        <v>-3365</v>
      </c>
      <c r="D14" s="154"/>
      <c r="E14" s="155"/>
      <c r="F14" s="154"/>
      <c r="G14" s="154"/>
      <c r="H14" s="155"/>
      <c r="I14" s="162">
        <v>-3365</v>
      </c>
      <c r="J14" s="162"/>
      <c r="K14" s="155"/>
      <c r="L14" s="162">
        <v>-3365</v>
      </c>
      <c r="M14" s="162"/>
      <c r="N14" s="162">
        <v>-3365</v>
      </c>
      <c r="O14" s="162"/>
      <c r="P14" s="162">
        <v>0</v>
      </c>
      <c r="Q14" s="162"/>
      <c r="R14" s="162">
        <v>0</v>
      </c>
    </row>
    <row r="15" spans="1:18">
      <c r="A15" s="154" t="s">
        <v>96</v>
      </c>
      <c r="B15" s="155"/>
      <c r="C15" s="201">
        <v>181336</v>
      </c>
      <c r="D15" s="154"/>
      <c r="E15" s="155">
        <v>4930</v>
      </c>
      <c r="F15" s="154"/>
      <c r="G15" s="154"/>
      <c r="H15" s="155"/>
      <c r="I15" s="162">
        <v>186266</v>
      </c>
      <c r="J15" s="162">
        <v>0</v>
      </c>
      <c r="K15" s="174">
        <v>2470</v>
      </c>
      <c r="L15" s="162">
        <v>183796</v>
      </c>
      <c r="M15" s="162"/>
      <c r="N15" s="162">
        <v>181336</v>
      </c>
      <c r="O15" s="162"/>
      <c r="P15" s="162">
        <v>4930</v>
      </c>
      <c r="Q15" s="162"/>
      <c r="R15" s="162">
        <v>0</v>
      </c>
    </row>
    <row r="16" spans="1:18">
      <c r="A16" s="154" t="s">
        <v>97</v>
      </c>
      <c r="B16" s="155"/>
      <c r="C16" s="174">
        <v>12573</v>
      </c>
      <c r="D16" s="154"/>
      <c r="E16" s="155">
        <v>469</v>
      </c>
      <c r="F16" s="155">
        <v>1073</v>
      </c>
      <c r="G16" s="155">
        <v>9</v>
      </c>
      <c r="H16" s="155"/>
      <c r="I16" s="162">
        <v>14124</v>
      </c>
      <c r="J16" s="162"/>
      <c r="K16" s="155"/>
      <c r="L16" s="162">
        <v>14124</v>
      </c>
      <c r="M16" s="162"/>
      <c r="N16" s="162">
        <v>12573</v>
      </c>
      <c r="O16" s="162"/>
      <c r="P16" s="162">
        <v>469</v>
      </c>
      <c r="Q16" s="162"/>
      <c r="R16" s="162">
        <v>1073</v>
      </c>
    </row>
    <row r="17" spans="1:18">
      <c r="A17" s="161" t="s">
        <v>98</v>
      </c>
      <c r="B17" s="155"/>
      <c r="C17" s="174"/>
      <c r="D17" s="154"/>
      <c r="E17" s="155"/>
      <c r="F17" s="154"/>
      <c r="G17" s="155"/>
      <c r="H17" s="155"/>
      <c r="I17" s="162">
        <v>0</v>
      </c>
      <c r="J17" s="162"/>
      <c r="K17" s="155"/>
      <c r="L17" s="162">
        <v>0</v>
      </c>
      <c r="M17" s="162"/>
      <c r="N17" s="162">
        <v>0</v>
      </c>
      <c r="O17" s="162"/>
      <c r="P17" s="162">
        <v>0</v>
      </c>
      <c r="Q17" s="162"/>
      <c r="R17" s="162">
        <v>0</v>
      </c>
    </row>
    <row r="18" spans="1:18">
      <c r="A18" s="154" t="s">
        <v>99</v>
      </c>
      <c r="B18" s="155"/>
      <c r="C18" s="172">
        <v>4454</v>
      </c>
      <c r="D18" s="154"/>
      <c r="E18" s="155"/>
      <c r="F18" s="154"/>
      <c r="G18" s="155"/>
      <c r="H18" s="155"/>
      <c r="I18" s="162">
        <v>4454</v>
      </c>
      <c r="J18" s="162"/>
      <c r="K18" s="155"/>
      <c r="L18" s="162">
        <v>4454</v>
      </c>
      <c r="M18" s="162"/>
      <c r="N18" s="162">
        <v>4454</v>
      </c>
      <c r="O18" s="162"/>
      <c r="P18" s="162">
        <v>0</v>
      </c>
      <c r="Q18" s="162"/>
      <c r="R18" s="162">
        <v>0</v>
      </c>
    </row>
    <row r="19" spans="1:18">
      <c r="A19" s="154" t="s">
        <v>100</v>
      </c>
      <c r="B19" s="155"/>
      <c r="C19" s="174">
        <v>31914</v>
      </c>
      <c r="D19" s="154"/>
      <c r="E19" s="155">
        <v>618</v>
      </c>
      <c r="F19" s="162">
        <v>2128</v>
      </c>
      <c r="G19" s="155"/>
      <c r="H19" s="155"/>
      <c r="I19" s="162">
        <v>34660</v>
      </c>
      <c r="J19" s="162"/>
      <c r="K19" s="155">
        <v>10979</v>
      </c>
      <c r="L19" s="162">
        <v>23681</v>
      </c>
      <c r="M19" s="162"/>
      <c r="N19" s="162">
        <v>31914</v>
      </c>
      <c r="O19" s="162"/>
      <c r="P19" s="162">
        <v>618</v>
      </c>
      <c r="Q19" s="162"/>
      <c r="R19" s="162">
        <v>2128</v>
      </c>
    </row>
    <row r="20" spans="1:18">
      <c r="A20" s="161" t="s">
        <v>101</v>
      </c>
      <c r="B20" s="155"/>
      <c r="C20" s="176"/>
      <c r="D20" s="164"/>
      <c r="E20" s="156"/>
      <c r="F20" s="176">
        <v>14470</v>
      </c>
      <c r="G20" s="156"/>
      <c r="H20" s="156"/>
      <c r="I20" s="163">
        <v>14470</v>
      </c>
      <c r="J20" s="163"/>
      <c r="K20" s="176">
        <v>14470</v>
      </c>
      <c r="L20" s="163">
        <v>0</v>
      </c>
      <c r="M20" s="164"/>
      <c r="N20" s="163">
        <v>0</v>
      </c>
      <c r="O20" s="156"/>
      <c r="P20" s="163">
        <v>0</v>
      </c>
      <c r="Q20" s="156"/>
      <c r="R20" s="163">
        <v>14470</v>
      </c>
    </row>
    <row r="21" spans="1:18">
      <c r="A21" s="154" t="s">
        <v>102</v>
      </c>
      <c r="B21" s="155"/>
      <c r="C21" s="174">
        <v>470485</v>
      </c>
      <c r="D21" s="155">
        <v>6</v>
      </c>
      <c r="E21" s="155">
        <v>11942</v>
      </c>
      <c r="F21" s="155">
        <v>19294</v>
      </c>
      <c r="G21" s="155">
        <v>246</v>
      </c>
      <c r="H21" s="155">
        <v>0</v>
      </c>
      <c r="I21" s="155">
        <v>501973</v>
      </c>
      <c r="J21" s="155">
        <v>0</v>
      </c>
      <c r="K21" s="155">
        <v>33932</v>
      </c>
      <c r="L21" s="155">
        <v>468041</v>
      </c>
      <c r="M21" s="155">
        <v>0</v>
      </c>
      <c r="N21" s="155">
        <v>470485</v>
      </c>
      <c r="O21" s="155">
        <v>0</v>
      </c>
      <c r="P21" s="155">
        <v>11942</v>
      </c>
      <c r="Q21" s="155">
        <v>0</v>
      </c>
      <c r="R21" s="155">
        <v>19294</v>
      </c>
    </row>
    <row r="22" spans="1:18">
      <c r="A22" s="154"/>
      <c r="B22" s="155"/>
      <c r="C22" s="174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</row>
    <row r="23" spans="1:18">
      <c r="A23" s="154" t="s">
        <v>103</v>
      </c>
      <c r="B23" s="155"/>
      <c r="C23" s="174">
        <v>8625</v>
      </c>
      <c r="D23" s="154"/>
      <c r="E23" s="155"/>
      <c r="F23" s="154"/>
      <c r="G23" s="155"/>
      <c r="H23" s="155"/>
      <c r="I23" s="162">
        <v>8625</v>
      </c>
      <c r="J23" s="162"/>
      <c r="K23" s="155"/>
      <c r="L23" s="162">
        <v>8625</v>
      </c>
      <c r="M23" s="154"/>
      <c r="N23" s="162">
        <v>8625</v>
      </c>
      <c r="O23" s="154"/>
      <c r="P23" s="162">
        <v>0</v>
      </c>
      <c r="Q23" s="154"/>
      <c r="R23" s="162">
        <v>0</v>
      </c>
    </row>
    <row r="24" spans="1:18">
      <c r="A24" s="161" t="s">
        <v>104</v>
      </c>
      <c r="B24" s="155"/>
      <c r="C24" s="174">
        <v>4570</v>
      </c>
      <c r="D24" s="154"/>
      <c r="E24" s="155"/>
      <c r="F24" s="155"/>
      <c r="G24" s="155"/>
      <c r="H24" s="155"/>
      <c r="I24" s="162">
        <v>4570</v>
      </c>
      <c r="J24" s="162"/>
      <c r="K24" s="155"/>
      <c r="L24" s="162">
        <v>4570</v>
      </c>
      <c r="M24" s="154"/>
      <c r="N24" s="162">
        <v>4570</v>
      </c>
      <c r="O24" s="154"/>
      <c r="P24" s="162">
        <v>0</v>
      </c>
      <c r="Q24" s="154"/>
      <c r="R24" s="162">
        <v>0</v>
      </c>
    </row>
    <row r="25" spans="1:18">
      <c r="A25" s="154" t="s">
        <v>105</v>
      </c>
      <c r="B25" s="154"/>
      <c r="C25" s="174">
        <v>24707</v>
      </c>
      <c r="D25" s="161"/>
      <c r="E25" s="155"/>
      <c r="F25" s="154"/>
      <c r="G25" s="155"/>
      <c r="H25" s="155"/>
      <c r="I25" s="162">
        <v>24707</v>
      </c>
      <c r="J25" s="162"/>
      <c r="K25" s="154"/>
      <c r="L25" s="162">
        <v>24707</v>
      </c>
      <c r="M25" s="162"/>
      <c r="N25" s="162">
        <v>24707</v>
      </c>
      <c r="O25" s="162"/>
      <c r="P25" s="162">
        <v>0</v>
      </c>
      <c r="Q25" s="162"/>
      <c r="R25" s="162">
        <v>0</v>
      </c>
    </row>
    <row r="26" spans="1:18">
      <c r="A26" s="161" t="s">
        <v>106</v>
      </c>
      <c r="B26" s="155"/>
      <c r="C26" s="190">
        <v>7806</v>
      </c>
      <c r="D26" s="154"/>
      <c r="E26" s="155"/>
      <c r="F26" s="154"/>
      <c r="G26" s="155"/>
      <c r="H26" s="155"/>
      <c r="I26" s="162">
        <v>7806</v>
      </c>
      <c r="J26" s="162"/>
      <c r="K26" s="154"/>
      <c r="L26" s="162">
        <v>7806</v>
      </c>
      <c r="M26" s="162"/>
      <c r="N26" s="162">
        <v>7806</v>
      </c>
      <c r="O26" s="162"/>
      <c r="P26" s="162">
        <v>0</v>
      </c>
      <c r="Q26" s="162"/>
      <c r="R26" s="162">
        <v>0</v>
      </c>
    </row>
    <row r="27" spans="1:18">
      <c r="A27" s="154" t="s">
        <v>107</v>
      </c>
      <c r="B27" s="155"/>
      <c r="C27" s="174">
        <v>246</v>
      </c>
      <c r="D27" s="154"/>
      <c r="E27" s="155">
        <v>9</v>
      </c>
      <c r="F27" s="154"/>
      <c r="G27" s="155"/>
      <c r="H27" s="155"/>
      <c r="I27" s="162">
        <v>255</v>
      </c>
      <c r="J27" s="162"/>
      <c r="K27" s="154"/>
      <c r="L27" s="162">
        <v>255</v>
      </c>
      <c r="M27" s="162"/>
      <c r="N27" s="162">
        <v>246</v>
      </c>
      <c r="O27" s="162"/>
      <c r="P27" s="162">
        <v>9</v>
      </c>
      <c r="Q27" s="162"/>
      <c r="R27" s="162">
        <v>0</v>
      </c>
    </row>
    <row r="28" spans="1:18">
      <c r="A28" s="161" t="s">
        <v>108</v>
      </c>
      <c r="B28" s="155"/>
      <c r="C28" s="174">
        <v>2144</v>
      </c>
      <c r="D28" s="154"/>
      <c r="E28" s="155"/>
      <c r="F28" s="154"/>
      <c r="G28" s="155"/>
      <c r="H28" s="155"/>
      <c r="I28" s="162">
        <v>2144</v>
      </c>
      <c r="J28" s="162"/>
      <c r="K28" s="154"/>
      <c r="L28" s="162">
        <v>2144</v>
      </c>
      <c r="M28" s="162"/>
      <c r="N28" s="162">
        <v>2144</v>
      </c>
      <c r="O28" s="162"/>
      <c r="P28" s="162">
        <v>0</v>
      </c>
      <c r="Q28" s="162"/>
      <c r="R28" s="162">
        <v>0</v>
      </c>
    </row>
    <row r="29" spans="1:18">
      <c r="A29" s="161" t="s">
        <v>109</v>
      </c>
      <c r="B29" s="155"/>
      <c r="C29" s="176"/>
      <c r="D29" s="164"/>
      <c r="E29" s="156"/>
      <c r="F29" s="164"/>
      <c r="G29" s="156"/>
      <c r="H29" s="156"/>
      <c r="I29" s="163">
        <v>0</v>
      </c>
      <c r="J29" s="163"/>
      <c r="K29" s="164"/>
      <c r="L29" s="163">
        <v>0</v>
      </c>
      <c r="M29" s="163"/>
      <c r="N29" s="163">
        <v>0</v>
      </c>
      <c r="O29" s="163"/>
      <c r="P29" s="163">
        <v>0</v>
      </c>
      <c r="Q29" s="163"/>
      <c r="R29" s="163">
        <v>0</v>
      </c>
    </row>
    <row r="30" spans="1:18">
      <c r="A30" s="154" t="s">
        <v>110</v>
      </c>
      <c r="B30" s="155"/>
      <c r="C30" s="174">
        <v>48098</v>
      </c>
      <c r="D30" s="155">
        <v>0</v>
      </c>
      <c r="E30" s="155">
        <v>9</v>
      </c>
      <c r="F30" s="155">
        <v>0</v>
      </c>
      <c r="G30" s="155"/>
      <c r="H30" s="155">
        <v>0</v>
      </c>
      <c r="I30" s="155">
        <v>48107</v>
      </c>
      <c r="J30" s="155"/>
      <c r="K30" s="154"/>
      <c r="L30" s="155">
        <v>48107</v>
      </c>
      <c r="M30" s="155">
        <v>0</v>
      </c>
      <c r="N30" s="155">
        <v>48098</v>
      </c>
      <c r="O30" s="155">
        <v>0</v>
      </c>
      <c r="P30" s="155">
        <v>9</v>
      </c>
      <c r="Q30" s="155">
        <v>0</v>
      </c>
      <c r="R30" s="155">
        <v>0</v>
      </c>
    </row>
    <row r="31" spans="1:18">
      <c r="A31" s="154"/>
      <c r="B31" s="155"/>
      <c r="C31" s="174"/>
      <c r="D31" s="154"/>
      <c r="E31" s="155"/>
      <c r="F31" s="154"/>
      <c r="G31" s="155"/>
      <c r="H31" s="155"/>
      <c r="I31" s="154"/>
      <c r="J31" s="154"/>
      <c r="K31" s="154"/>
      <c r="L31" s="154"/>
      <c r="M31" s="154"/>
      <c r="N31" s="154"/>
      <c r="O31" s="154"/>
      <c r="P31" s="154"/>
      <c r="Q31" s="154"/>
      <c r="R31" s="154"/>
    </row>
    <row r="32" spans="1:18">
      <c r="A32" s="154"/>
      <c r="B32" s="154"/>
      <c r="C32" s="154"/>
      <c r="D32" s="154"/>
      <c r="E32" s="155"/>
      <c r="F32" s="154"/>
      <c r="G32" s="155"/>
      <c r="H32" s="155"/>
      <c r="I32" s="154"/>
      <c r="J32" s="154"/>
      <c r="K32" s="154"/>
      <c r="L32" s="154"/>
      <c r="M32" s="154"/>
      <c r="N32" s="154"/>
      <c r="O32" s="154"/>
      <c r="P32" s="154"/>
      <c r="Q32" s="154"/>
      <c r="R32" s="154"/>
    </row>
    <row r="33" spans="1:19">
      <c r="A33" s="154"/>
      <c r="B33" s="155"/>
      <c r="C33" s="174"/>
      <c r="D33" s="154"/>
      <c r="E33" s="155"/>
      <c r="F33" s="154"/>
      <c r="G33" s="155"/>
      <c r="H33" s="155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</row>
    <row r="34" spans="1:19">
      <c r="A34" s="154" t="s">
        <v>111</v>
      </c>
      <c r="B34" s="155"/>
      <c r="C34" s="174">
        <v>58</v>
      </c>
      <c r="D34" s="154"/>
      <c r="E34" s="114">
        <v>0</v>
      </c>
      <c r="F34" s="174">
        <v>350886</v>
      </c>
      <c r="G34" s="155">
        <v>0</v>
      </c>
      <c r="H34" s="155"/>
      <c r="I34" s="162">
        <v>350944</v>
      </c>
      <c r="J34" s="162"/>
      <c r="K34" s="155">
        <v>350944</v>
      </c>
      <c r="L34" s="162">
        <v>0</v>
      </c>
      <c r="M34" s="162"/>
      <c r="N34" s="162">
        <v>58</v>
      </c>
      <c r="O34" s="162">
        <v>0</v>
      </c>
      <c r="P34" s="162">
        <v>0</v>
      </c>
      <c r="Q34" s="162">
        <v>0</v>
      </c>
      <c r="R34" s="162">
        <v>350886</v>
      </c>
      <c r="S34" s="154"/>
    </row>
    <row r="35" spans="1:19">
      <c r="A35" s="161" t="s">
        <v>112</v>
      </c>
      <c r="B35" s="155"/>
      <c r="C35" s="174">
        <v>78346</v>
      </c>
      <c r="D35" s="154"/>
      <c r="E35" s="155">
        <v>0</v>
      </c>
      <c r="F35" s="155">
        <v>0</v>
      </c>
      <c r="G35" s="155"/>
      <c r="H35" s="155"/>
      <c r="I35" s="162">
        <v>78346</v>
      </c>
      <c r="J35" s="162"/>
      <c r="K35" s="155"/>
      <c r="L35" s="162">
        <v>78346</v>
      </c>
      <c r="M35" s="162"/>
      <c r="N35" s="162">
        <v>78346</v>
      </c>
      <c r="O35" s="162"/>
      <c r="P35" s="162">
        <v>0</v>
      </c>
      <c r="Q35" s="162"/>
      <c r="R35" s="162">
        <v>0</v>
      </c>
      <c r="S35" s="162">
        <v>0</v>
      </c>
    </row>
    <row r="36" spans="1:19">
      <c r="A36" s="161" t="s">
        <v>113</v>
      </c>
      <c r="B36" s="155"/>
      <c r="C36" s="155">
        <v>103</v>
      </c>
      <c r="D36" s="154"/>
      <c r="E36" s="114"/>
      <c r="F36" s="155"/>
      <c r="G36" s="155"/>
      <c r="H36" s="155"/>
      <c r="I36" s="162">
        <v>103</v>
      </c>
      <c r="J36" s="162"/>
      <c r="K36" s="162"/>
      <c r="L36" s="162">
        <v>103</v>
      </c>
      <c r="M36" s="162"/>
      <c r="N36" s="162">
        <v>103</v>
      </c>
      <c r="O36" s="162"/>
      <c r="P36" s="162">
        <v>0</v>
      </c>
      <c r="Q36" s="162"/>
      <c r="R36" s="162">
        <v>0</v>
      </c>
      <c r="S36" s="154"/>
    </row>
    <row r="37" spans="1:19">
      <c r="A37" s="154" t="s">
        <v>114</v>
      </c>
      <c r="B37" s="155"/>
      <c r="C37" s="155">
        <v>40115</v>
      </c>
      <c r="D37" s="154"/>
      <c r="E37" s="155">
        <v>2194</v>
      </c>
      <c r="F37" s="154"/>
      <c r="G37" s="155"/>
      <c r="H37" s="155"/>
      <c r="I37" s="162">
        <v>42309</v>
      </c>
      <c r="J37" s="162"/>
      <c r="K37" s="154"/>
      <c r="L37" s="162">
        <v>42309</v>
      </c>
      <c r="M37" s="162">
        <v>0</v>
      </c>
      <c r="N37" s="162">
        <v>40115</v>
      </c>
      <c r="O37" s="162"/>
      <c r="P37" s="162">
        <v>2194</v>
      </c>
      <c r="Q37" s="162"/>
      <c r="R37" s="162">
        <v>0</v>
      </c>
      <c r="S37" s="154"/>
    </row>
    <row r="38" spans="1:19">
      <c r="A38" s="154" t="s">
        <v>115</v>
      </c>
      <c r="B38" s="155"/>
      <c r="C38" s="174">
        <v>39003</v>
      </c>
      <c r="D38" s="154"/>
      <c r="E38" s="155">
        <v>24101</v>
      </c>
      <c r="F38" s="155">
        <v>74959</v>
      </c>
      <c r="G38" s="155"/>
      <c r="H38" s="155"/>
      <c r="I38" s="162">
        <v>138063</v>
      </c>
      <c r="J38" s="162"/>
      <c r="K38" s="154"/>
      <c r="L38" s="162">
        <v>138063</v>
      </c>
      <c r="M38" s="162"/>
      <c r="N38" s="162">
        <v>39003</v>
      </c>
      <c r="O38" s="162"/>
      <c r="P38" s="162">
        <v>24101</v>
      </c>
      <c r="Q38" s="162"/>
      <c r="R38" s="162"/>
      <c r="S38" s="154"/>
    </row>
    <row r="39" spans="1:19">
      <c r="A39" s="154"/>
      <c r="B39" s="155"/>
      <c r="C39" s="156"/>
      <c r="D39" s="164"/>
      <c r="E39" s="156"/>
      <c r="F39" s="164"/>
      <c r="G39" s="156"/>
      <c r="H39" s="156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54"/>
    </row>
    <row r="40" spans="1:19">
      <c r="A40" s="154" t="s">
        <v>116</v>
      </c>
      <c r="B40" s="155"/>
      <c r="C40" s="155">
        <v>157625</v>
      </c>
      <c r="D40" s="154"/>
      <c r="E40" s="155">
        <v>26295</v>
      </c>
      <c r="F40" s="155">
        <v>425845</v>
      </c>
      <c r="G40" s="155">
        <v>0</v>
      </c>
      <c r="H40" s="155">
        <v>0</v>
      </c>
      <c r="I40" s="155">
        <v>609765</v>
      </c>
      <c r="J40" s="155">
        <v>0</v>
      </c>
      <c r="K40" s="155">
        <v>350944</v>
      </c>
      <c r="L40" s="155">
        <v>258821</v>
      </c>
      <c r="M40" s="155">
        <v>0</v>
      </c>
      <c r="N40" s="155">
        <v>157625</v>
      </c>
      <c r="O40" s="155">
        <v>0</v>
      </c>
      <c r="P40" s="155">
        <v>26295</v>
      </c>
      <c r="Q40" s="155">
        <v>0</v>
      </c>
      <c r="R40" s="155">
        <v>350886</v>
      </c>
      <c r="S40" s="154"/>
    </row>
    <row r="41" spans="1:19">
      <c r="A41" s="154"/>
      <c r="B41" s="155"/>
      <c r="C41" s="155"/>
      <c r="D41" s="154"/>
      <c r="E41" s="155"/>
      <c r="F41" s="155"/>
      <c r="G41" s="155"/>
      <c r="H41" s="155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</row>
    <row r="42" spans="1:19" ht="13.8" thickBot="1">
      <c r="A42" s="154" t="s">
        <v>117</v>
      </c>
      <c r="B42" s="155"/>
      <c r="C42" s="157">
        <v>676208</v>
      </c>
      <c r="D42" s="157">
        <v>6</v>
      </c>
      <c r="E42" s="157">
        <v>38246</v>
      </c>
      <c r="F42" s="157">
        <v>445139</v>
      </c>
      <c r="G42" s="157">
        <v>246</v>
      </c>
      <c r="H42" s="157">
        <v>0</v>
      </c>
      <c r="I42" s="157">
        <v>1159845</v>
      </c>
      <c r="J42" s="157">
        <v>0</v>
      </c>
      <c r="K42" s="157">
        <v>384876</v>
      </c>
      <c r="L42" s="157">
        <v>774969</v>
      </c>
      <c r="M42" s="157">
        <v>0</v>
      </c>
      <c r="N42" s="157">
        <v>676208</v>
      </c>
      <c r="O42" s="157">
        <v>0</v>
      </c>
      <c r="P42" s="157">
        <v>38246</v>
      </c>
      <c r="Q42" s="157">
        <v>0</v>
      </c>
      <c r="R42" s="157">
        <v>370180</v>
      </c>
      <c r="S42" s="154"/>
    </row>
    <row r="43" spans="1:19" ht="13.8" thickTop="1">
      <c r="A43" s="154"/>
      <c r="B43" s="154"/>
      <c r="C43" s="154"/>
      <c r="D43" s="154"/>
      <c r="E43" s="155"/>
      <c r="F43" s="154"/>
      <c r="G43" s="155"/>
      <c r="H43" s="155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</row>
    <row r="44" spans="1:19">
      <c r="A44" s="154"/>
      <c r="B44" s="154"/>
      <c r="C44" s="162"/>
      <c r="D44" s="154"/>
      <c r="E44" s="154"/>
      <c r="F44" s="162"/>
      <c r="G44" s="155"/>
      <c r="H44" s="155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</row>
    <row r="45" spans="1:19">
      <c r="A45" s="154"/>
      <c r="B45" s="154"/>
      <c r="C45" s="162"/>
      <c r="D45" s="154"/>
      <c r="E45" s="154"/>
      <c r="F45" s="154"/>
      <c r="G45" s="162"/>
      <c r="H45" s="162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</row>
    <row r="46" spans="1:19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94" t="s">
        <v>118</v>
      </c>
      <c r="M46" s="154"/>
      <c r="N46" s="154"/>
      <c r="O46" s="154"/>
      <c r="P46" s="154"/>
      <c r="Q46" s="154"/>
      <c r="R46" s="154"/>
      <c r="S46" s="154"/>
    </row>
    <row r="47" spans="1:19">
      <c r="A47" s="154" t="s">
        <v>71</v>
      </c>
      <c r="B47" s="154"/>
      <c r="C47" s="154"/>
      <c r="D47" s="154"/>
      <c r="E47" s="154"/>
      <c r="F47" s="154"/>
      <c r="G47" s="154"/>
      <c r="H47" s="154"/>
      <c r="I47" s="162">
        <v>0</v>
      </c>
      <c r="J47" s="162"/>
      <c r="K47" s="154"/>
      <c r="L47" s="154"/>
      <c r="M47" s="154"/>
      <c r="N47" s="154"/>
      <c r="O47" s="154"/>
      <c r="P47" s="154"/>
      <c r="Q47" s="154"/>
      <c r="R47" s="154"/>
      <c r="S47" s="154"/>
    </row>
    <row r="48" spans="1:19">
      <c r="A48" s="154" t="s">
        <v>72</v>
      </c>
      <c r="B48" s="154"/>
      <c r="C48" s="169">
        <v>41729</v>
      </c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70">
        <v>41743.60204849537</v>
      </c>
      <c r="R48" s="154"/>
      <c r="S48" s="154"/>
    </row>
    <row r="50" spans="1:21">
      <c r="A50" s="154"/>
      <c r="B50" s="154"/>
      <c r="C50" s="165" t="s">
        <v>73</v>
      </c>
      <c r="D50" s="154" t="s">
        <v>74</v>
      </c>
      <c r="E50" s="165" t="s">
        <v>75</v>
      </c>
      <c r="F50" s="165" t="s">
        <v>76</v>
      </c>
      <c r="G50" s="165" t="s">
        <v>77</v>
      </c>
      <c r="H50" s="165" t="s">
        <v>78</v>
      </c>
      <c r="I50" s="154" t="s">
        <v>79</v>
      </c>
      <c r="J50" s="183" t="s">
        <v>80</v>
      </c>
      <c r="K50" s="165" t="s">
        <v>81</v>
      </c>
      <c r="L50" s="154"/>
      <c r="M50" s="154"/>
      <c r="N50" s="154"/>
      <c r="O50" s="154"/>
      <c r="P50" s="154"/>
      <c r="Q50" s="154"/>
      <c r="R50" s="154"/>
      <c r="S50" s="154"/>
      <c r="T50" s="154"/>
      <c r="U50" s="154"/>
    </row>
    <row r="51" spans="1:21">
      <c r="A51" s="154" t="s">
        <v>82</v>
      </c>
      <c r="B51" s="154"/>
      <c r="C51" s="166">
        <v>41729</v>
      </c>
      <c r="D51" s="166">
        <v>41729</v>
      </c>
      <c r="E51" s="166">
        <v>41729</v>
      </c>
      <c r="F51" s="166">
        <v>41729</v>
      </c>
      <c r="G51" s="166">
        <v>41729</v>
      </c>
      <c r="H51" s="166">
        <v>41729</v>
      </c>
      <c r="I51" s="166">
        <v>41729</v>
      </c>
      <c r="J51" s="184" t="s">
        <v>83</v>
      </c>
      <c r="K51" s="167" t="s">
        <v>84</v>
      </c>
      <c r="L51" s="167" t="s">
        <v>85</v>
      </c>
      <c r="M51" s="167" t="s">
        <v>86</v>
      </c>
      <c r="N51" s="167" t="s">
        <v>73</v>
      </c>
      <c r="O51" s="168" t="s">
        <v>119</v>
      </c>
      <c r="P51" s="168" t="s">
        <v>120</v>
      </c>
      <c r="Q51" s="168" t="s">
        <v>88</v>
      </c>
      <c r="R51" s="168" t="s">
        <v>89</v>
      </c>
      <c r="S51" s="154"/>
      <c r="T51" s="154"/>
      <c r="U51" s="154"/>
    </row>
    <row r="52" spans="1:21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</row>
    <row r="53" spans="1:21">
      <c r="A53" s="154" t="s">
        <v>121</v>
      </c>
      <c r="B53" s="155"/>
      <c r="C53" s="174">
        <v>54420</v>
      </c>
      <c r="D53" s="154"/>
      <c r="E53" s="154"/>
      <c r="F53" s="154"/>
      <c r="G53" s="154"/>
      <c r="H53" s="154"/>
      <c r="I53" s="162">
        <v>54420</v>
      </c>
      <c r="J53" s="162">
        <v>13642</v>
      </c>
      <c r="K53" s="154"/>
      <c r="L53" s="162">
        <v>68062</v>
      </c>
      <c r="M53" s="162"/>
      <c r="N53" s="162"/>
      <c r="O53" s="155"/>
      <c r="P53" s="162">
        <v>0</v>
      </c>
      <c r="Q53" s="162"/>
      <c r="R53" s="162">
        <v>0</v>
      </c>
      <c r="S53" s="154"/>
      <c r="T53" s="154"/>
      <c r="U53" s="154"/>
    </row>
    <row r="54" spans="1:21">
      <c r="A54" s="154" t="s">
        <v>122</v>
      </c>
      <c r="B54" s="155"/>
      <c r="C54" s="172">
        <v>32032</v>
      </c>
      <c r="D54" s="154"/>
      <c r="E54" s="174">
        <v>6242</v>
      </c>
      <c r="F54" s="197">
        <v>47</v>
      </c>
      <c r="G54" s="154">
        <v>6</v>
      </c>
      <c r="H54" s="174"/>
      <c r="I54" s="162">
        <v>38327</v>
      </c>
      <c r="J54" s="200">
        <v>-13642</v>
      </c>
      <c r="K54" s="174">
        <v>6013</v>
      </c>
      <c r="L54" s="162">
        <v>18672</v>
      </c>
      <c r="M54" s="162"/>
      <c r="N54" s="162"/>
      <c r="O54" s="155"/>
      <c r="P54" s="162">
        <v>6242</v>
      </c>
      <c r="Q54" s="162"/>
      <c r="R54" s="162">
        <v>47</v>
      </c>
      <c r="S54" s="154"/>
      <c r="T54" s="154"/>
      <c r="U54" s="154"/>
    </row>
    <row r="55" spans="1:21">
      <c r="A55" s="154" t="s">
        <v>123</v>
      </c>
      <c r="B55" s="155"/>
      <c r="C55" s="190">
        <v>7041</v>
      </c>
      <c r="D55" s="154"/>
      <c r="E55" s="154">
        <v>37</v>
      </c>
      <c r="F55" s="197">
        <v>9</v>
      </c>
      <c r="G55" s="174">
        <v>45</v>
      </c>
      <c r="H55" s="174"/>
      <c r="I55" s="162">
        <v>7132</v>
      </c>
      <c r="J55" s="162"/>
      <c r="K55" s="154"/>
      <c r="L55" s="162">
        <v>7132</v>
      </c>
      <c r="M55" s="162"/>
      <c r="N55" s="162"/>
      <c r="O55" s="155"/>
      <c r="P55" s="162">
        <v>37</v>
      </c>
      <c r="Q55" s="162"/>
      <c r="R55" s="162">
        <v>9</v>
      </c>
      <c r="S55" s="154"/>
      <c r="T55" s="154"/>
      <c r="U55" s="190">
        <v>7262</v>
      </c>
    </row>
    <row r="56" spans="1:21">
      <c r="A56" s="161" t="s">
        <v>98</v>
      </c>
      <c r="B56" s="155"/>
      <c r="C56" s="174">
        <v>1943</v>
      </c>
      <c r="D56" s="154"/>
      <c r="E56" s="154"/>
      <c r="F56" s="174"/>
      <c r="G56" s="174"/>
      <c r="H56" s="174"/>
      <c r="I56" s="162">
        <v>1943</v>
      </c>
      <c r="J56" s="162"/>
      <c r="K56" s="154"/>
      <c r="L56" s="162">
        <v>1943</v>
      </c>
      <c r="M56" s="162"/>
      <c r="N56" s="162"/>
      <c r="O56" s="155"/>
      <c r="P56" s="162">
        <v>0</v>
      </c>
      <c r="Q56" s="162"/>
      <c r="R56" s="162">
        <v>0</v>
      </c>
      <c r="S56" s="154"/>
      <c r="T56" s="154"/>
      <c r="U56" s="154"/>
    </row>
    <row r="57" spans="1:21">
      <c r="A57" s="154" t="s">
        <v>124</v>
      </c>
      <c r="B57" s="155"/>
      <c r="C57" s="174">
        <v>9414</v>
      </c>
      <c r="D57" s="154"/>
      <c r="E57" s="154">
        <v>480</v>
      </c>
      <c r="F57" s="197">
        <v>8</v>
      </c>
      <c r="G57" s="174"/>
      <c r="H57" s="174"/>
      <c r="I57" s="162">
        <v>9902</v>
      </c>
      <c r="J57" s="162"/>
      <c r="K57" s="154"/>
      <c r="L57" s="162">
        <v>9902</v>
      </c>
      <c r="M57" s="162"/>
      <c r="N57" s="162"/>
      <c r="O57" s="155"/>
      <c r="P57" s="162">
        <v>480</v>
      </c>
      <c r="Q57" s="162"/>
      <c r="R57" s="162">
        <v>8</v>
      </c>
      <c r="S57" s="154"/>
      <c r="T57" s="154"/>
      <c r="U57" s="174">
        <v>9086</v>
      </c>
    </row>
    <row r="58" spans="1:21">
      <c r="A58" s="161" t="s">
        <v>125</v>
      </c>
      <c r="B58" s="155"/>
      <c r="C58" s="174">
        <v>240</v>
      </c>
      <c r="D58" s="154"/>
      <c r="E58" s="154">
        <v>240</v>
      </c>
      <c r="F58" s="174"/>
      <c r="G58" s="174"/>
      <c r="H58" s="174"/>
      <c r="I58" s="162">
        <v>480</v>
      </c>
      <c r="J58" s="162"/>
      <c r="K58" s="154"/>
      <c r="L58" s="162">
        <v>480</v>
      </c>
      <c r="M58" s="162"/>
      <c r="N58" s="162"/>
      <c r="O58" s="155"/>
      <c r="P58" s="162">
        <v>240</v>
      </c>
      <c r="Q58" s="162"/>
      <c r="R58" s="162"/>
      <c r="S58" s="154"/>
      <c r="T58" s="154"/>
      <c r="U58" s="154"/>
    </row>
    <row r="59" spans="1:21">
      <c r="A59" s="154" t="s">
        <v>126</v>
      </c>
      <c r="B59" s="155"/>
      <c r="C59" s="174">
        <v>8144</v>
      </c>
      <c r="D59" s="174">
        <v>21</v>
      </c>
      <c r="E59" s="174">
        <v>10393</v>
      </c>
      <c r="F59" s="174">
        <v>6</v>
      </c>
      <c r="G59" s="174">
        <v>175</v>
      </c>
      <c r="H59" s="174">
        <v>0</v>
      </c>
      <c r="I59" s="174">
        <v>18739</v>
      </c>
      <c r="J59" s="174"/>
      <c r="K59" s="174">
        <v>10979</v>
      </c>
      <c r="L59" s="174">
        <v>7760</v>
      </c>
      <c r="M59" s="162"/>
      <c r="N59" s="162"/>
      <c r="O59" s="155"/>
      <c r="P59" s="162">
        <v>10393</v>
      </c>
      <c r="Q59" s="162"/>
      <c r="R59" s="162">
        <v>6</v>
      </c>
      <c r="S59" s="154"/>
      <c r="T59" s="154"/>
      <c r="U59" s="154"/>
    </row>
    <row r="60" spans="1:21">
      <c r="A60" s="154" t="s">
        <v>127</v>
      </c>
      <c r="B60" s="155"/>
      <c r="C60" s="174">
        <v>8144</v>
      </c>
      <c r="D60" s="174">
        <v>21</v>
      </c>
      <c r="E60" s="174">
        <v>10393</v>
      </c>
      <c r="F60" s="174">
        <v>6</v>
      </c>
      <c r="G60" s="174">
        <v>175</v>
      </c>
      <c r="H60" s="174"/>
      <c r="I60" s="162">
        <v>18739</v>
      </c>
      <c r="J60" s="162"/>
      <c r="K60" s="162">
        <v>10979</v>
      </c>
      <c r="L60" s="162">
        <v>7760</v>
      </c>
      <c r="M60" s="162"/>
      <c r="N60" s="162"/>
      <c r="O60" s="155"/>
      <c r="P60" s="162">
        <v>10393</v>
      </c>
      <c r="Q60" s="162"/>
      <c r="R60" s="162">
        <v>6</v>
      </c>
      <c r="S60" s="162"/>
      <c r="T60" s="154"/>
      <c r="U60" s="154"/>
    </row>
    <row r="61" spans="1:21">
      <c r="A61" s="154" t="s">
        <v>128</v>
      </c>
      <c r="B61" s="155"/>
      <c r="C61" s="176">
        <v>15879</v>
      </c>
      <c r="D61" s="164"/>
      <c r="E61" s="176"/>
      <c r="F61" s="176">
        <v>5366</v>
      </c>
      <c r="G61" s="176"/>
      <c r="H61" s="176"/>
      <c r="I61" s="163">
        <v>21245</v>
      </c>
      <c r="J61" s="163"/>
      <c r="K61" s="163">
        <v>14470</v>
      </c>
      <c r="L61" s="163">
        <v>6775</v>
      </c>
      <c r="M61" s="163"/>
      <c r="N61" s="163"/>
      <c r="O61" s="163"/>
      <c r="P61" s="163">
        <v>0</v>
      </c>
      <c r="Q61" s="163"/>
      <c r="R61" s="163">
        <v>5366</v>
      </c>
      <c r="S61" s="154"/>
      <c r="T61" s="154"/>
      <c r="U61" s="154"/>
    </row>
    <row r="62" spans="1:21">
      <c r="A62" s="154"/>
      <c r="B62" s="155"/>
      <c r="C62" s="174"/>
      <c r="D62" s="154"/>
      <c r="E62" s="174"/>
      <c r="F62" s="174"/>
      <c r="G62" s="174"/>
      <c r="H62" s="174"/>
      <c r="I62" s="154"/>
      <c r="J62" s="154"/>
      <c r="K62" s="154"/>
      <c r="L62" s="154"/>
      <c r="M62" s="154"/>
      <c r="N62" s="154"/>
      <c r="O62" s="155"/>
      <c r="P62" s="154"/>
      <c r="Q62" s="154"/>
      <c r="R62" s="154"/>
      <c r="S62" s="154"/>
      <c r="T62" s="154"/>
      <c r="U62" s="154"/>
    </row>
    <row r="63" spans="1:21">
      <c r="A63" s="154" t="s">
        <v>129</v>
      </c>
      <c r="B63" s="155"/>
      <c r="C63" s="174">
        <v>129113</v>
      </c>
      <c r="D63" s="174">
        <v>21</v>
      </c>
      <c r="E63" s="174">
        <v>17392</v>
      </c>
      <c r="F63" s="174">
        <v>5436</v>
      </c>
      <c r="G63" s="174">
        <v>226</v>
      </c>
      <c r="H63" s="174">
        <v>0</v>
      </c>
      <c r="I63" s="174">
        <v>152188</v>
      </c>
      <c r="J63" s="174"/>
      <c r="K63" s="174">
        <v>31462</v>
      </c>
      <c r="L63" s="174">
        <v>120726</v>
      </c>
      <c r="M63" s="155">
        <v>0</v>
      </c>
      <c r="N63" s="155">
        <v>0</v>
      </c>
      <c r="O63" s="155">
        <v>0</v>
      </c>
      <c r="P63" s="155">
        <v>17392</v>
      </c>
      <c r="Q63" s="155">
        <v>0</v>
      </c>
      <c r="R63" s="155">
        <v>5436</v>
      </c>
      <c r="S63" s="154"/>
      <c r="T63" s="154"/>
      <c r="U63" s="154"/>
    </row>
    <row r="64" spans="1:21">
      <c r="A64" s="154"/>
      <c r="B64" s="155"/>
      <c r="C64" s="174"/>
      <c r="D64" s="174"/>
      <c r="E64" s="174"/>
      <c r="F64" s="174"/>
      <c r="G64" s="174"/>
      <c r="H64" s="174"/>
      <c r="I64" s="162"/>
      <c r="J64" s="162"/>
      <c r="K64" s="162"/>
      <c r="L64" s="174"/>
      <c r="M64" s="155"/>
      <c r="N64" s="155"/>
      <c r="O64" s="155"/>
      <c r="P64" s="155"/>
      <c r="Q64" s="155"/>
      <c r="R64" s="155"/>
      <c r="S64" s="154"/>
      <c r="T64" s="154"/>
      <c r="U64" s="154"/>
    </row>
    <row r="65" spans="1:25">
      <c r="A65" s="161" t="s">
        <v>130</v>
      </c>
      <c r="B65" s="155"/>
      <c r="C65" s="174">
        <v>155131</v>
      </c>
      <c r="D65" s="174"/>
      <c r="E65" s="174"/>
      <c r="F65" s="174"/>
      <c r="G65" s="174"/>
      <c r="H65" s="174"/>
      <c r="I65" s="162">
        <v>155131</v>
      </c>
      <c r="J65" s="162"/>
      <c r="K65" s="162"/>
      <c r="L65" s="162">
        <v>155131</v>
      </c>
      <c r="M65" s="155"/>
      <c r="N65" s="155"/>
      <c r="O65" s="155"/>
      <c r="P65" s="162">
        <v>0</v>
      </c>
      <c r="Q65" s="155"/>
      <c r="R65" s="155"/>
      <c r="S65" s="154"/>
      <c r="T65" s="154"/>
      <c r="U65" s="154"/>
      <c r="V65" s="154"/>
      <c r="W65" s="154"/>
      <c r="X65" s="154"/>
      <c r="Y65" s="154"/>
    </row>
    <row r="66" spans="1:25">
      <c r="A66" s="161" t="s">
        <v>131</v>
      </c>
      <c r="B66" s="155"/>
      <c r="C66" s="174"/>
      <c r="D66" s="174"/>
      <c r="E66" s="174"/>
      <c r="F66" s="174"/>
      <c r="G66" s="174"/>
      <c r="H66" s="174"/>
      <c r="I66" s="162">
        <v>0</v>
      </c>
      <c r="J66" s="162"/>
      <c r="K66" s="162"/>
      <c r="L66" s="162">
        <v>0</v>
      </c>
      <c r="M66" s="155"/>
      <c r="N66" s="155"/>
      <c r="O66" s="155"/>
      <c r="P66" s="162">
        <v>0</v>
      </c>
      <c r="Q66" s="155"/>
      <c r="R66" s="155"/>
      <c r="S66" s="154"/>
      <c r="T66" s="154"/>
      <c r="U66" s="154"/>
      <c r="V66" s="154"/>
      <c r="W66" s="154"/>
      <c r="X66" s="154"/>
      <c r="Y66" s="154"/>
    </row>
    <row r="67" spans="1:25">
      <c r="A67" s="161" t="s">
        <v>125</v>
      </c>
      <c r="B67" s="155"/>
      <c r="C67" s="174">
        <v>0</v>
      </c>
      <c r="D67" s="174"/>
      <c r="E67" s="174">
        <v>320</v>
      </c>
      <c r="F67" s="174"/>
      <c r="G67" s="174"/>
      <c r="H67" s="174"/>
      <c r="I67" s="162">
        <v>320</v>
      </c>
      <c r="J67" s="162"/>
      <c r="K67" s="162"/>
      <c r="L67" s="162">
        <v>320</v>
      </c>
      <c r="M67" s="155"/>
      <c r="N67" s="162"/>
      <c r="O67" s="155"/>
      <c r="P67" s="162">
        <v>320</v>
      </c>
      <c r="Q67" s="155"/>
      <c r="R67" s="155"/>
      <c r="S67" s="154"/>
      <c r="T67" s="154"/>
      <c r="U67" s="154"/>
      <c r="V67" s="154"/>
      <c r="W67" s="154"/>
      <c r="X67" s="154"/>
      <c r="Y67" s="154"/>
    </row>
    <row r="68" spans="1:25">
      <c r="A68" s="161" t="s">
        <v>132</v>
      </c>
      <c r="B68" s="155"/>
      <c r="C68" s="174"/>
      <c r="D68" s="154"/>
      <c r="E68" s="174"/>
      <c r="F68" s="174"/>
      <c r="G68" s="174"/>
      <c r="H68" s="174"/>
      <c r="I68" s="162">
        <v>0</v>
      </c>
      <c r="J68" s="162"/>
      <c r="K68" s="154"/>
      <c r="L68" s="162">
        <v>0</v>
      </c>
      <c r="M68" s="154"/>
      <c r="N68" s="154"/>
      <c r="O68" s="155"/>
      <c r="P68" s="162">
        <v>0</v>
      </c>
      <c r="Q68" s="154"/>
      <c r="R68" s="154"/>
      <c r="S68" s="154"/>
      <c r="T68" s="154"/>
      <c r="U68" s="154"/>
      <c r="V68" s="154"/>
      <c r="W68" s="154"/>
      <c r="X68" s="154"/>
      <c r="Y68" s="154"/>
    </row>
    <row r="69" spans="1:25">
      <c r="A69" s="154" t="s">
        <v>133</v>
      </c>
      <c r="B69" s="155"/>
      <c r="C69" s="174">
        <v>28685</v>
      </c>
      <c r="D69" s="154"/>
      <c r="E69" s="174"/>
      <c r="F69" s="174"/>
      <c r="G69" s="174"/>
      <c r="H69" s="174"/>
      <c r="I69" s="162">
        <v>28685</v>
      </c>
      <c r="J69" s="162"/>
      <c r="K69" s="154"/>
      <c r="L69" s="162">
        <v>28685</v>
      </c>
      <c r="M69" s="154"/>
      <c r="N69" s="154"/>
      <c r="O69" s="155"/>
      <c r="P69" s="162"/>
      <c r="Q69" s="154"/>
      <c r="R69" s="154"/>
      <c r="S69" s="154"/>
      <c r="T69" s="154"/>
      <c r="U69" s="154"/>
      <c r="V69" s="154"/>
      <c r="W69" s="154"/>
      <c r="X69" s="154"/>
      <c r="Y69" s="154"/>
    </row>
    <row r="70" spans="1:25">
      <c r="A70" s="161" t="s">
        <v>134</v>
      </c>
      <c r="B70" s="155"/>
      <c r="C70" s="174">
        <v>24707</v>
      </c>
      <c r="D70" s="154"/>
      <c r="E70" s="174"/>
      <c r="F70" s="174"/>
      <c r="G70" s="174"/>
      <c r="H70" s="174"/>
      <c r="I70" s="162">
        <v>24707</v>
      </c>
      <c r="J70" s="162"/>
      <c r="K70" s="154"/>
      <c r="L70" s="162">
        <v>24707</v>
      </c>
      <c r="M70" s="162"/>
      <c r="N70" s="162"/>
      <c r="O70" s="162"/>
      <c r="P70" s="162">
        <v>0</v>
      </c>
      <c r="Q70" s="162"/>
      <c r="R70" s="162">
        <v>0</v>
      </c>
      <c r="S70" s="154"/>
      <c r="T70" s="154"/>
      <c r="U70" s="154"/>
      <c r="V70" s="154"/>
      <c r="W70" s="154"/>
      <c r="X70" s="154"/>
      <c r="Y70" s="154"/>
    </row>
    <row r="71" spans="1:25">
      <c r="A71" s="161" t="s">
        <v>135</v>
      </c>
      <c r="B71" s="155"/>
      <c r="C71" s="173"/>
      <c r="D71" s="164"/>
      <c r="E71" s="176">
        <v>2132</v>
      </c>
      <c r="F71" s="164"/>
      <c r="G71" s="164"/>
      <c r="H71" s="164"/>
      <c r="I71" s="163">
        <v>2132</v>
      </c>
      <c r="J71" s="163"/>
      <c r="K71" s="163">
        <v>0</v>
      </c>
      <c r="L71" s="163">
        <v>2132</v>
      </c>
      <c r="M71" s="164"/>
      <c r="N71" s="164"/>
      <c r="O71" s="163"/>
      <c r="P71" s="163">
        <v>2132</v>
      </c>
      <c r="Q71" s="163"/>
      <c r="R71" s="163">
        <v>0</v>
      </c>
      <c r="S71" s="154"/>
      <c r="T71" s="154"/>
      <c r="U71" s="154"/>
      <c r="V71" s="154"/>
      <c r="W71" s="154"/>
      <c r="X71" s="154"/>
      <c r="Y71" s="154"/>
    </row>
    <row r="72" spans="1:25">
      <c r="A72" s="154" t="s">
        <v>136</v>
      </c>
      <c r="B72" s="155"/>
      <c r="C72" s="174">
        <v>208523</v>
      </c>
      <c r="D72" s="174">
        <v>0</v>
      </c>
      <c r="E72" s="174">
        <v>2452</v>
      </c>
      <c r="F72" s="174">
        <v>0</v>
      </c>
      <c r="G72" s="174"/>
      <c r="H72" s="174">
        <v>0</v>
      </c>
      <c r="I72" s="174">
        <v>210975</v>
      </c>
      <c r="J72" s="174"/>
      <c r="K72" s="174">
        <v>0</v>
      </c>
      <c r="L72" s="174">
        <v>210975</v>
      </c>
      <c r="M72" s="155">
        <v>0</v>
      </c>
      <c r="N72" s="155">
        <v>0</v>
      </c>
      <c r="O72" s="155">
        <v>0</v>
      </c>
      <c r="P72" s="155">
        <v>2452</v>
      </c>
      <c r="Q72" s="155">
        <v>0</v>
      </c>
      <c r="R72" s="155">
        <v>0</v>
      </c>
      <c r="S72" s="154"/>
      <c r="T72" s="154"/>
      <c r="U72" s="154"/>
      <c r="V72" s="154"/>
      <c r="W72" s="154"/>
      <c r="X72" s="154"/>
      <c r="Y72" s="154"/>
    </row>
    <row r="73" spans="1:25">
      <c r="A73" s="154"/>
      <c r="B73" s="155"/>
      <c r="C73" s="174"/>
      <c r="D73" s="154"/>
      <c r="E73" s="17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</row>
    <row r="74" spans="1:25">
      <c r="A74" s="154" t="s">
        <v>137</v>
      </c>
      <c r="B74" s="155"/>
      <c r="C74" s="174">
        <v>0</v>
      </c>
      <c r="D74" s="154"/>
      <c r="E74" s="17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</row>
    <row r="75" spans="1:25">
      <c r="A75" s="154"/>
      <c r="B75" s="155"/>
      <c r="C75" s="174"/>
      <c r="D75" s="154"/>
      <c r="E75" s="17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</row>
    <row r="76" spans="1:25">
      <c r="A76" s="154" t="s">
        <v>138</v>
      </c>
      <c r="B76" s="155"/>
      <c r="C76" s="174">
        <v>0</v>
      </c>
      <c r="D76" s="154"/>
      <c r="E76" s="174"/>
      <c r="F76" s="154"/>
      <c r="G76" s="154"/>
      <c r="H76" s="154"/>
      <c r="I76" s="154"/>
      <c r="J76" s="154"/>
      <c r="K76" s="174">
        <v>3565</v>
      </c>
      <c r="L76" s="174">
        <v>3565</v>
      </c>
      <c r="M76" s="155"/>
      <c r="N76" s="155"/>
      <c r="O76" s="155"/>
      <c r="P76" s="155"/>
      <c r="Q76" s="155"/>
      <c r="R76" s="155">
        <v>0</v>
      </c>
      <c r="S76" s="154"/>
      <c r="T76" s="154"/>
      <c r="U76" s="154"/>
      <c r="V76" s="154"/>
      <c r="W76" s="154"/>
      <c r="X76" s="154"/>
      <c r="Y76" s="154"/>
    </row>
    <row r="77" spans="1:25">
      <c r="A77" s="154"/>
      <c r="B77" s="155"/>
      <c r="C77" s="174"/>
      <c r="D77" s="154"/>
      <c r="E77" s="174"/>
      <c r="F77" s="154"/>
      <c r="G77" s="154"/>
      <c r="H77" s="154"/>
      <c r="I77" s="154"/>
      <c r="J77" s="154"/>
      <c r="K77" s="17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</row>
    <row r="78" spans="1:25">
      <c r="A78" s="154"/>
      <c r="B78" s="154"/>
      <c r="C78" s="154"/>
      <c r="D78" s="154"/>
      <c r="E78" s="17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</row>
    <row r="79" spans="1:25">
      <c r="A79" s="154"/>
      <c r="B79" s="155"/>
      <c r="C79" s="174"/>
      <c r="D79" s="154"/>
      <c r="E79" s="17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</row>
    <row r="80" spans="1:25">
      <c r="A80" s="154"/>
      <c r="B80" s="154"/>
      <c r="C80" s="154"/>
      <c r="D80" s="154"/>
      <c r="E80" s="17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61" t="s">
        <v>139</v>
      </c>
      <c r="W80" s="154"/>
      <c r="X80" s="154"/>
      <c r="Y80" s="154" t="s">
        <v>140</v>
      </c>
    </row>
    <row r="81" spans="1:29" ht="14.4">
      <c r="A81" s="154" t="s">
        <v>141</v>
      </c>
      <c r="B81" s="155"/>
      <c r="C81" s="174">
        <v>146755</v>
      </c>
      <c r="D81" s="155">
        <v>53</v>
      </c>
      <c r="E81" s="174">
        <v>33000</v>
      </c>
      <c r="F81" s="155">
        <v>128515</v>
      </c>
      <c r="G81" s="155">
        <v>900</v>
      </c>
      <c r="H81" s="155">
        <v>0</v>
      </c>
      <c r="I81" s="155">
        <v>309223</v>
      </c>
      <c r="J81" s="155"/>
      <c r="K81" s="155">
        <v>180708</v>
      </c>
      <c r="L81" s="174">
        <v>128515</v>
      </c>
      <c r="M81" s="155"/>
      <c r="N81" s="155"/>
      <c r="O81" s="155"/>
      <c r="P81" s="162">
        <v>33000</v>
      </c>
      <c r="Q81" s="155">
        <v>0</v>
      </c>
      <c r="R81" s="155">
        <v>128515</v>
      </c>
      <c r="S81" s="154"/>
      <c r="T81" s="154"/>
      <c r="U81" s="154"/>
      <c r="V81" s="178" t="s">
        <v>46</v>
      </c>
      <c r="W81" s="179"/>
      <c r="X81" s="180">
        <v>128515</v>
      </c>
      <c r="Y81" s="180">
        <v>124547</v>
      </c>
    </row>
    <row r="82" spans="1:29" ht="14.4">
      <c r="A82" s="154" t="s">
        <v>142</v>
      </c>
      <c r="B82" s="155"/>
      <c r="C82" s="174">
        <v>146755</v>
      </c>
      <c r="D82" s="155">
        <v>53</v>
      </c>
      <c r="E82" s="174">
        <v>33000</v>
      </c>
      <c r="F82" s="174">
        <v>128515</v>
      </c>
      <c r="G82" s="174">
        <v>900</v>
      </c>
      <c r="H82" s="174"/>
      <c r="I82" s="162">
        <v>309223</v>
      </c>
      <c r="J82" s="162"/>
      <c r="K82" s="162">
        <v>180708</v>
      </c>
      <c r="L82" s="162">
        <v>128515</v>
      </c>
      <c r="M82" s="162"/>
      <c r="N82" s="162"/>
      <c r="O82" s="154"/>
      <c r="P82" s="162">
        <v>33000</v>
      </c>
      <c r="Q82" s="162"/>
      <c r="R82" s="155">
        <v>128515</v>
      </c>
      <c r="S82" s="154"/>
      <c r="T82" s="154"/>
      <c r="U82" s="154"/>
      <c r="V82" s="178" t="s">
        <v>47</v>
      </c>
      <c r="W82" s="179"/>
      <c r="X82" s="180">
        <v>-10870</v>
      </c>
      <c r="Y82" s="180">
        <v>-10870</v>
      </c>
    </row>
    <row r="83" spans="1:29" ht="14.4">
      <c r="A83" s="154" t="s">
        <v>143</v>
      </c>
      <c r="B83" s="155"/>
      <c r="C83" s="174"/>
      <c r="D83" s="154"/>
      <c r="E83" s="174"/>
      <c r="F83" s="154"/>
      <c r="G83" s="154"/>
      <c r="H83" s="154"/>
      <c r="I83" s="162">
        <v>0</v>
      </c>
      <c r="J83" s="162"/>
      <c r="K83" s="162">
        <v>0</v>
      </c>
      <c r="L83" s="162">
        <v>0</v>
      </c>
      <c r="M83" s="162"/>
      <c r="N83" s="162"/>
      <c r="O83" s="162"/>
      <c r="P83" s="162">
        <v>0</v>
      </c>
      <c r="Q83" s="162"/>
      <c r="R83" s="155">
        <v>0</v>
      </c>
      <c r="S83" s="154"/>
      <c r="T83" s="154"/>
      <c r="U83" s="154"/>
      <c r="V83" s="178" t="s">
        <v>48</v>
      </c>
      <c r="W83" s="179"/>
      <c r="X83" s="180">
        <v>178844</v>
      </c>
      <c r="Y83" s="180">
        <v>181431</v>
      </c>
    </row>
    <row r="84" spans="1:29" ht="14.4">
      <c r="A84" s="154" t="s">
        <v>144</v>
      </c>
      <c r="B84" s="155"/>
      <c r="C84" s="172">
        <v>87718</v>
      </c>
      <c r="D84" s="154"/>
      <c r="E84" s="174"/>
      <c r="F84" s="174">
        <v>167974</v>
      </c>
      <c r="G84" s="174"/>
      <c r="H84" s="174"/>
      <c r="I84" s="162">
        <v>255692</v>
      </c>
      <c r="J84" s="162"/>
      <c r="K84" s="162">
        <v>87718</v>
      </c>
      <c r="L84" s="162">
        <v>167974</v>
      </c>
      <c r="M84" s="162"/>
      <c r="N84" s="162"/>
      <c r="O84" s="162"/>
      <c r="P84" s="162">
        <v>0</v>
      </c>
      <c r="Q84" s="162"/>
      <c r="R84" s="155">
        <v>167974</v>
      </c>
      <c r="S84" s="154"/>
      <c r="T84" s="154"/>
      <c r="U84" s="154"/>
      <c r="V84" s="178" t="s">
        <v>49</v>
      </c>
      <c r="W84" s="179"/>
      <c r="X84" s="180">
        <v>137149</v>
      </c>
      <c r="Y84" s="180">
        <v>129049</v>
      </c>
    </row>
    <row r="85" spans="1:29" ht="14.4">
      <c r="A85" s="154" t="s">
        <v>145</v>
      </c>
      <c r="B85" s="155"/>
      <c r="C85" s="174">
        <v>107244</v>
      </c>
      <c r="D85" s="155">
        <v>-68</v>
      </c>
      <c r="E85" s="174">
        <v>-12703</v>
      </c>
      <c r="F85" s="172">
        <v>164128</v>
      </c>
      <c r="G85" s="172">
        <v>-350</v>
      </c>
      <c r="H85" s="172"/>
      <c r="I85" s="162">
        <v>258251</v>
      </c>
      <c r="J85" s="162"/>
      <c r="K85" s="162">
        <v>94123</v>
      </c>
      <c r="L85" s="162">
        <v>164128</v>
      </c>
      <c r="M85" s="162"/>
      <c r="N85" s="162"/>
      <c r="O85" s="162"/>
      <c r="P85" s="162">
        <v>-12703</v>
      </c>
      <c r="Q85" s="162">
        <v>0</v>
      </c>
      <c r="R85" s="155">
        <v>164128</v>
      </c>
      <c r="S85" s="154"/>
      <c r="T85" s="154"/>
      <c r="U85" s="154"/>
      <c r="V85" s="178" t="s">
        <v>50</v>
      </c>
      <c r="W85" s="179"/>
      <c r="X85" s="180">
        <v>-15512</v>
      </c>
      <c r="Y85" s="180">
        <v>-16373</v>
      </c>
    </row>
    <row r="86" spans="1:29">
      <c r="A86" s="154" t="s">
        <v>146</v>
      </c>
      <c r="B86" s="155"/>
      <c r="C86" s="174"/>
      <c r="D86" s="174"/>
      <c r="E86" s="174"/>
      <c r="F86" s="172">
        <v>-15512</v>
      </c>
      <c r="G86" s="172">
        <v>62</v>
      </c>
      <c r="H86" s="172"/>
      <c r="I86" s="162">
        <v>-15450</v>
      </c>
      <c r="J86" s="162"/>
      <c r="K86" s="162">
        <v>62</v>
      </c>
      <c r="L86" s="162">
        <v>-15512</v>
      </c>
      <c r="M86" s="162"/>
      <c r="N86" s="162"/>
      <c r="O86" s="162"/>
      <c r="P86" s="162">
        <v>0</v>
      </c>
      <c r="Q86" s="162">
        <v>0</v>
      </c>
      <c r="R86" s="155">
        <v>-15512</v>
      </c>
      <c r="S86" s="154"/>
      <c r="T86" s="154"/>
      <c r="U86" s="154"/>
      <c r="V86" s="154"/>
      <c r="W86" s="154"/>
      <c r="X86" s="154"/>
      <c r="Y86" s="154"/>
    </row>
    <row r="87" spans="1:29">
      <c r="A87" s="154" t="s">
        <v>147</v>
      </c>
      <c r="B87" s="155"/>
      <c r="C87" s="176">
        <v>-3145</v>
      </c>
      <c r="D87" s="164"/>
      <c r="E87" s="176">
        <v>-1895</v>
      </c>
      <c r="F87" s="173">
        <v>-5402</v>
      </c>
      <c r="G87" s="173">
        <v>-592</v>
      </c>
      <c r="H87" s="173"/>
      <c r="I87" s="163">
        <v>-11034</v>
      </c>
      <c r="J87" s="163"/>
      <c r="K87" s="163">
        <v>-5632</v>
      </c>
      <c r="L87" s="163">
        <v>-5402</v>
      </c>
      <c r="M87" s="163"/>
      <c r="N87" s="163"/>
      <c r="O87" s="163">
        <v>0</v>
      </c>
      <c r="P87" s="163">
        <v>-1895</v>
      </c>
      <c r="Q87" s="163">
        <v>0</v>
      </c>
      <c r="R87" s="156">
        <v>-5402</v>
      </c>
      <c r="S87" s="154"/>
      <c r="T87" s="154"/>
      <c r="U87" s="154">
        <v>-3038</v>
      </c>
      <c r="V87" s="154"/>
      <c r="W87" s="154"/>
      <c r="X87" s="154"/>
      <c r="Y87" s="154"/>
    </row>
    <row r="88" spans="1:29">
      <c r="A88" s="154"/>
      <c r="B88" s="155"/>
      <c r="C88" s="155"/>
      <c r="D88" s="154"/>
      <c r="E88" s="155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</row>
    <row r="89" spans="1:29">
      <c r="A89" s="154" t="s">
        <v>148</v>
      </c>
      <c r="B89" s="155"/>
      <c r="C89" s="155">
        <v>338572</v>
      </c>
      <c r="D89" s="155">
        <v>-15</v>
      </c>
      <c r="E89" s="155">
        <v>18402</v>
      </c>
      <c r="F89" s="155">
        <v>439703</v>
      </c>
      <c r="G89" s="155">
        <v>20</v>
      </c>
      <c r="H89" s="155">
        <v>0</v>
      </c>
      <c r="I89" s="155">
        <v>796682</v>
      </c>
      <c r="J89" s="155">
        <v>0</v>
      </c>
      <c r="K89" s="155">
        <v>356979</v>
      </c>
      <c r="L89" s="155">
        <v>439703</v>
      </c>
      <c r="M89" s="155"/>
      <c r="N89" s="155"/>
      <c r="O89" s="155">
        <v>0</v>
      </c>
      <c r="P89" s="155">
        <v>18402</v>
      </c>
      <c r="Q89" s="155"/>
      <c r="R89" s="155">
        <v>439703</v>
      </c>
      <c r="S89" s="154"/>
      <c r="T89" s="154"/>
      <c r="U89" s="154"/>
      <c r="V89" s="154"/>
      <c r="W89" s="154"/>
      <c r="X89" s="154"/>
      <c r="Y89" s="154"/>
    </row>
    <row r="90" spans="1:29">
      <c r="A90" s="154"/>
      <c r="B90" s="155"/>
      <c r="C90" s="155"/>
      <c r="D90" s="154"/>
      <c r="E90" s="155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</row>
    <row r="91" spans="1:29" ht="13.8" thickBot="1">
      <c r="A91" s="154" t="s">
        <v>149</v>
      </c>
      <c r="B91" s="155"/>
      <c r="C91" s="157">
        <v>676208</v>
      </c>
      <c r="D91" s="157">
        <v>6</v>
      </c>
      <c r="E91" s="157">
        <v>38246</v>
      </c>
      <c r="F91" s="157">
        <v>445139</v>
      </c>
      <c r="G91" s="157">
        <v>246</v>
      </c>
      <c r="H91" s="157">
        <v>0</v>
      </c>
      <c r="I91" s="157">
        <v>1159845</v>
      </c>
      <c r="J91" s="157">
        <v>0</v>
      </c>
      <c r="K91" s="157">
        <v>384876</v>
      </c>
      <c r="L91" s="157">
        <v>774969</v>
      </c>
      <c r="M91" s="157">
        <v>0</v>
      </c>
      <c r="N91" s="157">
        <v>0</v>
      </c>
      <c r="O91" s="157">
        <v>0</v>
      </c>
      <c r="P91" s="157">
        <v>38246</v>
      </c>
      <c r="Q91" s="157">
        <v>0</v>
      </c>
      <c r="R91" s="157">
        <v>445139</v>
      </c>
      <c r="S91" s="154"/>
      <c r="T91" s="154"/>
      <c r="U91" s="154"/>
      <c r="V91" s="154"/>
      <c r="W91" s="154"/>
      <c r="X91" s="154"/>
      <c r="Y91" s="154"/>
    </row>
    <row r="92" spans="1:29" ht="13.8" thickTop="1">
      <c r="A92" s="154"/>
      <c r="B92" s="155"/>
      <c r="C92" s="155"/>
      <c r="D92" s="154"/>
      <c r="E92" s="155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</row>
    <row r="93" spans="1:29">
      <c r="A93" s="154"/>
      <c r="B93" s="155"/>
      <c r="C93" s="155">
        <v>0</v>
      </c>
      <c r="D93" s="155">
        <v>0</v>
      </c>
      <c r="E93" s="155">
        <v>0</v>
      </c>
      <c r="F93" s="155">
        <v>0</v>
      </c>
      <c r="G93" s="155">
        <v>0</v>
      </c>
      <c r="H93" s="155">
        <v>0</v>
      </c>
      <c r="I93" s="155">
        <v>0</v>
      </c>
      <c r="J93" s="155">
        <v>0</v>
      </c>
      <c r="K93" s="155">
        <v>0</v>
      </c>
      <c r="L93" s="155">
        <v>0</v>
      </c>
      <c r="M93" s="155"/>
      <c r="N93" s="155"/>
      <c r="O93" s="155">
        <v>0</v>
      </c>
      <c r="P93" s="155">
        <v>0</v>
      </c>
      <c r="Q93" s="155"/>
      <c r="R93" s="155">
        <v>-74959</v>
      </c>
      <c r="S93" s="154"/>
      <c r="T93" s="154"/>
      <c r="U93" s="154"/>
      <c r="V93" s="154"/>
      <c r="W93" s="154"/>
      <c r="X93" s="154"/>
      <c r="Y93" s="154"/>
    </row>
    <row r="94" spans="1:29">
      <c r="A94" s="154"/>
      <c r="B94" s="155"/>
      <c r="C94" s="155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62"/>
      <c r="P94" s="154"/>
      <c r="Q94" s="154"/>
      <c r="R94" s="154"/>
      <c r="S94" s="154"/>
      <c r="T94" s="154"/>
      <c r="U94" s="154"/>
      <c r="V94" s="154"/>
      <c r="W94" s="154"/>
      <c r="X94" s="154"/>
      <c r="Y94" s="154"/>
    </row>
    <row r="95" spans="1:29">
      <c r="A95" s="154" t="s">
        <v>118</v>
      </c>
      <c r="B95" s="154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</row>
    <row r="96" spans="1:29">
      <c r="A96" s="154" t="s">
        <v>72</v>
      </c>
      <c r="B96" s="154"/>
      <c r="C96" s="169">
        <v>41729</v>
      </c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70">
        <v>41743.60204849537</v>
      </c>
      <c r="Q96" s="154"/>
      <c r="R96" s="154"/>
      <c r="S96" s="154"/>
      <c r="T96" s="154"/>
      <c r="U96" s="154"/>
      <c r="V96" s="154"/>
      <c r="W96" s="154"/>
      <c r="X96" s="154"/>
      <c r="Y96" s="154"/>
      <c r="AA96" s="103" t="s">
        <v>72</v>
      </c>
      <c r="AC96" s="104">
        <v>41729</v>
      </c>
    </row>
    <row r="97" spans="1:37">
      <c r="A97" s="161"/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AA97" s="111"/>
    </row>
    <row r="98" spans="1:37">
      <c r="A98" s="154"/>
      <c r="B98" s="154"/>
      <c r="C98" s="165" t="s">
        <v>73</v>
      </c>
      <c r="D98" s="154" t="s">
        <v>74</v>
      </c>
      <c r="E98" s="175" t="s">
        <v>75</v>
      </c>
      <c r="F98" s="165" t="s">
        <v>76</v>
      </c>
      <c r="G98" s="165" t="s">
        <v>77</v>
      </c>
      <c r="H98" s="165" t="s">
        <v>78</v>
      </c>
      <c r="I98" s="154" t="s">
        <v>79</v>
      </c>
      <c r="J98" s="165" t="s">
        <v>81</v>
      </c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AC98" s="105" t="s">
        <v>73</v>
      </c>
      <c r="AD98" s="103" t="s">
        <v>74</v>
      </c>
      <c r="AE98" s="116" t="s">
        <v>75</v>
      </c>
      <c r="AF98" s="105" t="s">
        <v>76</v>
      </c>
      <c r="AG98" s="105" t="s">
        <v>77</v>
      </c>
      <c r="AH98" s="105" t="s">
        <v>78</v>
      </c>
      <c r="AI98" s="103" t="s">
        <v>79</v>
      </c>
      <c r="AJ98" s="105" t="s">
        <v>81</v>
      </c>
    </row>
    <row r="99" spans="1:37">
      <c r="A99" s="154" t="s">
        <v>82</v>
      </c>
      <c r="B99" s="154"/>
      <c r="C99" s="166">
        <v>41729</v>
      </c>
      <c r="D99" s="166">
        <v>41729</v>
      </c>
      <c r="E99" s="166">
        <v>41729</v>
      </c>
      <c r="F99" s="166">
        <v>41729</v>
      </c>
      <c r="G99" s="166">
        <v>41729</v>
      </c>
      <c r="H99" s="166">
        <v>41729</v>
      </c>
      <c r="I99" s="166">
        <v>41729</v>
      </c>
      <c r="J99" s="167" t="s">
        <v>84</v>
      </c>
      <c r="K99" s="167" t="s">
        <v>85</v>
      </c>
      <c r="L99" s="154"/>
      <c r="M99" s="168" t="s">
        <v>73</v>
      </c>
      <c r="N99" s="168" t="s">
        <v>119</v>
      </c>
      <c r="O99" s="168" t="s">
        <v>120</v>
      </c>
      <c r="P99" s="168" t="s">
        <v>88</v>
      </c>
      <c r="Q99" s="168" t="s">
        <v>89</v>
      </c>
      <c r="R99" s="154"/>
      <c r="S99" s="154"/>
      <c r="T99" s="154"/>
      <c r="U99" s="154"/>
      <c r="V99" s="154"/>
      <c r="W99" s="154"/>
      <c r="X99" s="154"/>
      <c r="AA99" s="103" t="s">
        <v>82</v>
      </c>
      <c r="AC99" s="106">
        <v>41729</v>
      </c>
      <c r="AD99" s="106">
        <v>41729</v>
      </c>
      <c r="AE99" s="106">
        <v>41729</v>
      </c>
      <c r="AF99" s="106">
        <v>41729</v>
      </c>
      <c r="AG99" s="106">
        <v>41729</v>
      </c>
      <c r="AH99" s="106">
        <v>41729</v>
      </c>
      <c r="AI99" s="106">
        <v>41729</v>
      </c>
      <c r="AJ99" s="107" t="s">
        <v>84</v>
      </c>
      <c r="AK99" s="107" t="s">
        <v>85</v>
      </c>
    </row>
    <row r="100" spans="1:37">
      <c r="A100" s="154"/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</row>
    <row r="101" spans="1:37" ht="14.4">
      <c r="A101" s="154" t="s">
        <v>150</v>
      </c>
      <c r="B101" s="155"/>
      <c r="C101" s="155">
        <v>82220</v>
      </c>
      <c r="D101" s="154"/>
      <c r="E101" s="174">
        <v>1222</v>
      </c>
      <c r="F101" s="154"/>
      <c r="G101" s="155"/>
      <c r="H101" s="155"/>
      <c r="I101" s="162">
        <v>83442</v>
      </c>
      <c r="J101" s="174">
        <v>884</v>
      </c>
      <c r="K101" s="162">
        <v>82558</v>
      </c>
      <c r="L101" s="154"/>
      <c r="M101" s="162"/>
      <c r="N101" s="162"/>
      <c r="O101" s="162">
        <v>1222</v>
      </c>
      <c r="P101" s="162"/>
      <c r="Q101" s="162">
        <v>0</v>
      </c>
      <c r="R101" s="154"/>
      <c r="S101" s="154"/>
      <c r="T101" s="154"/>
      <c r="U101" s="154"/>
      <c r="V101" s="154"/>
      <c r="W101" s="154"/>
      <c r="X101" s="154"/>
      <c r="AA101" s="103" t="s">
        <v>150</v>
      </c>
      <c r="AB101" s="108"/>
      <c r="AC101" s="108">
        <f>C101-C154</f>
        <v>82220</v>
      </c>
      <c r="AD101" s="108">
        <f t="shared" ref="AD101:AK101" si="0">D101-D154</f>
        <v>0</v>
      </c>
      <c r="AE101" s="110">
        <f t="shared" si="0"/>
        <v>1222</v>
      </c>
      <c r="AF101" s="108">
        <f t="shared" si="0"/>
        <v>0</v>
      </c>
      <c r="AG101" s="108">
        <f t="shared" si="0"/>
        <v>0</v>
      </c>
      <c r="AH101" s="108">
        <f t="shared" si="0"/>
        <v>0</v>
      </c>
      <c r="AI101" s="108">
        <f t="shared" si="0"/>
        <v>83442</v>
      </c>
      <c r="AJ101" s="110">
        <f t="shared" si="0"/>
        <v>884</v>
      </c>
      <c r="AK101" s="108">
        <f t="shared" si="0"/>
        <v>62865.067555402769</v>
      </c>
    </row>
    <row r="102" spans="1:37" ht="14.4">
      <c r="A102" s="154" t="s">
        <v>151</v>
      </c>
      <c r="B102" s="159"/>
      <c r="C102" s="155">
        <v>2700</v>
      </c>
      <c r="D102" s="154"/>
      <c r="E102" s="174"/>
      <c r="F102" s="154"/>
      <c r="G102" s="155"/>
      <c r="H102" s="155"/>
      <c r="I102" s="162">
        <v>2700</v>
      </c>
      <c r="J102" s="174"/>
      <c r="K102" s="162">
        <v>2700</v>
      </c>
      <c r="L102" s="154"/>
      <c r="M102" s="162"/>
      <c r="N102" s="162"/>
      <c r="O102" s="162">
        <v>0</v>
      </c>
      <c r="P102" s="162"/>
      <c r="Q102" s="162">
        <v>0</v>
      </c>
      <c r="R102" s="154"/>
      <c r="S102" s="154"/>
      <c r="T102" s="154"/>
      <c r="U102" s="154"/>
      <c r="V102" s="154"/>
      <c r="W102" s="154"/>
      <c r="X102" s="154"/>
      <c r="AA102" s="103" t="s">
        <v>151</v>
      </c>
      <c r="AB102" s="117"/>
      <c r="AC102" s="108">
        <f t="shared" ref="AC102:AK107" si="1">C102-C155</f>
        <v>2700</v>
      </c>
      <c r="AD102" s="108">
        <f t="shared" si="1"/>
        <v>0</v>
      </c>
      <c r="AE102" s="110">
        <f t="shared" si="1"/>
        <v>0</v>
      </c>
      <c r="AF102" s="108">
        <f t="shared" si="1"/>
        <v>0</v>
      </c>
      <c r="AG102" s="108">
        <f t="shared" si="1"/>
        <v>0</v>
      </c>
      <c r="AH102" s="108">
        <f t="shared" si="1"/>
        <v>0</v>
      </c>
      <c r="AI102" s="108">
        <f t="shared" si="1"/>
        <v>2700</v>
      </c>
      <c r="AJ102" s="110">
        <f t="shared" si="1"/>
        <v>0</v>
      </c>
      <c r="AK102" s="108">
        <f t="shared" si="1"/>
        <v>-15541.092787291091</v>
      </c>
    </row>
    <row r="103" spans="1:37" ht="14.4">
      <c r="A103" s="154" t="s">
        <v>152</v>
      </c>
      <c r="B103" s="159"/>
      <c r="C103" s="155">
        <v>12739</v>
      </c>
      <c r="D103" s="154"/>
      <c r="E103" s="174">
        <v>293</v>
      </c>
      <c r="F103" s="154"/>
      <c r="G103" s="155"/>
      <c r="H103" s="155"/>
      <c r="I103" s="162">
        <v>13032</v>
      </c>
      <c r="J103" s="174">
        <v>136</v>
      </c>
      <c r="K103" s="162">
        <v>12896</v>
      </c>
      <c r="L103" s="154"/>
      <c r="M103" s="162"/>
      <c r="N103" s="162"/>
      <c r="O103" s="162">
        <v>293</v>
      </c>
      <c r="P103" s="162"/>
      <c r="Q103" s="162">
        <v>0</v>
      </c>
      <c r="R103" s="154"/>
      <c r="S103" s="154"/>
      <c r="T103" s="154"/>
      <c r="U103" s="154"/>
      <c r="V103" s="154"/>
      <c r="W103" s="154"/>
      <c r="X103" s="154"/>
      <c r="AA103" s="103" t="s">
        <v>152</v>
      </c>
      <c r="AB103" s="117"/>
      <c r="AC103" s="108">
        <f t="shared" si="1"/>
        <v>12739</v>
      </c>
      <c r="AD103" s="108">
        <f t="shared" si="1"/>
        <v>0</v>
      </c>
      <c r="AE103" s="110">
        <f t="shared" si="1"/>
        <v>293</v>
      </c>
      <c r="AF103" s="108">
        <f t="shared" si="1"/>
        <v>0</v>
      </c>
      <c r="AG103" s="108">
        <f t="shared" si="1"/>
        <v>0</v>
      </c>
      <c r="AH103" s="108">
        <f t="shared" si="1"/>
        <v>0</v>
      </c>
      <c r="AI103" s="108">
        <f t="shared" si="1"/>
        <v>13032</v>
      </c>
      <c r="AJ103" s="110">
        <f t="shared" si="1"/>
        <v>136</v>
      </c>
      <c r="AK103" s="108">
        <f t="shared" si="1"/>
        <v>11605</v>
      </c>
    </row>
    <row r="104" spans="1:37" ht="14.4">
      <c r="A104" s="161" t="s">
        <v>153</v>
      </c>
      <c r="B104" s="154"/>
      <c r="C104" s="156">
        <v>364</v>
      </c>
      <c r="D104" s="163"/>
      <c r="E104" s="176"/>
      <c r="F104" s="164"/>
      <c r="G104" s="156"/>
      <c r="H104" s="156"/>
      <c r="I104" s="163">
        <v>364</v>
      </c>
      <c r="J104" s="176"/>
      <c r="K104" s="163">
        <v>364</v>
      </c>
      <c r="L104" s="154"/>
      <c r="M104" s="162"/>
      <c r="N104" s="162"/>
      <c r="O104" s="163">
        <v>0</v>
      </c>
      <c r="P104" s="162"/>
      <c r="Q104" s="163">
        <v>0</v>
      </c>
      <c r="R104" s="154"/>
      <c r="S104" s="162"/>
      <c r="T104" s="154"/>
      <c r="U104" s="154"/>
      <c r="V104" s="154"/>
      <c r="W104" s="154"/>
      <c r="X104" s="154"/>
      <c r="AA104" s="111" t="s">
        <v>153</v>
      </c>
      <c r="AC104" s="113">
        <f t="shared" si="1"/>
        <v>364</v>
      </c>
      <c r="AD104" s="113">
        <f t="shared" si="1"/>
        <v>0</v>
      </c>
      <c r="AE104" s="112">
        <f t="shared" si="1"/>
        <v>0</v>
      </c>
      <c r="AF104" s="113">
        <f t="shared" si="1"/>
        <v>0</v>
      </c>
      <c r="AG104" s="113">
        <f t="shared" si="1"/>
        <v>0</v>
      </c>
      <c r="AH104" s="113">
        <f t="shared" si="1"/>
        <v>0</v>
      </c>
      <c r="AI104" s="113">
        <f t="shared" si="1"/>
        <v>364</v>
      </c>
      <c r="AJ104" s="112">
        <f t="shared" si="1"/>
        <v>0</v>
      </c>
      <c r="AK104" s="113">
        <f t="shared" si="1"/>
        <v>-323.81372388884904</v>
      </c>
    </row>
    <row r="105" spans="1:37" ht="14.4">
      <c r="A105" s="154"/>
      <c r="B105" s="159"/>
      <c r="C105" s="158"/>
      <c r="D105" s="154"/>
      <c r="E105" s="154"/>
      <c r="F105" s="154"/>
      <c r="G105" s="155"/>
      <c r="H105" s="155"/>
      <c r="I105" s="154"/>
      <c r="J105" s="17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AB105" s="117"/>
      <c r="AC105" s="118">
        <f t="shared" si="1"/>
        <v>0</v>
      </c>
      <c r="AD105" s="108">
        <f t="shared" si="1"/>
        <v>0</v>
      </c>
      <c r="AE105" s="110">
        <f t="shared" si="1"/>
        <v>0</v>
      </c>
      <c r="AF105" s="108">
        <f t="shared" si="1"/>
        <v>0</v>
      </c>
      <c r="AG105" s="108">
        <f t="shared" si="1"/>
        <v>0</v>
      </c>
      <c r="AH105" s="108">
        <f t="shared" si="1"/>
        <v>0</v>
      </c>
      <c r="AI105" s="108">
        <f t="shared" si="1"/>
        <v>0</v>
      </c>
      <c r="AJ105" s="110">
        <f t="shared" si="1"/>
        <v>0</v>
      </c>
      <c r="AK105" s="108">
        <f t="shared" si="1"/>
        <v>0</v>
      </c>
    </row>
    <row r="106" spans="1:37" ht="14.4">
      <c r="A106" s="154" t="s">
        <v>154</v>
      </c>
      <c r="B106" s="159"/>
      <c r="C106" s="155">
        <v>67145</v>
      </c>
      <c r="D106" s="154"/>
      <c r="E106" s="174">
        <v>929</v>
      </c>
      <c r="F106" s="154"/>
      <c r="G106" s="155">
        <v>0</v>
      </c>
      <c r="H106" s="155">
        <v>0</v>
      </c>
      <c r="I106" s="155">
        <v>68074</v>
      </c>
      <c r="J106" s="174">
        <v>748</v>
      </c>
      <c r="K106" s="155">
        <v>67326</v>
      </c>
      <c r="L106" s="162"/>
      <c r="M106" s="155"/>
      <c r="N106" s="155"/>
      <c r="O106" s="155"/>
      <c r="P106" s="155"/>
      <c r="Q106" s="155"/>
      <c r="R106" s="154"/>
      <c r="S106" s="154"/>
      <c r="T106" s="154"/>
      <c r="U106" s="161" t="s">
        <v>155</v>
      </c>
      <c r="V106" s="154"/>
      <c r="W106" s="154"/>
      <c r="X106" s="200">
        <v>524</v>
      </c>
      <c r="AA106" s="103" t="s">
        <v>154</v>
      </c>
      <c r="AB106" s="117"/>
      <c r="AC106" s="108">
        <f t="shared" si="1"/>
        <v>67145</v>
      </c>
      <c r="AD106" s="108">
        <f t="shared" si="1"/>
        <v>0</v>
      </c>
      <c r="AE106" s="110">
        <f t="shared" si="1"/>
        <v>929</v>
      </c>
      <c r="AF106" s="108">
        <f t="shared" si="1"/>
        <v>0</v>
      </c>
      <c r="AG106" s="108">
        <f t="shared" si="1"/>
        <v>0</v>
      </c>
      <c r="AH106" s="108">
        <f t="shared" si="1"/>
        <v>0</v>
      </c>
      <c r="AI106" s="108">
        <f t="shared" si="1"/>
        <v>68074</v>
      </c>
      <c r="AJ106" s="110">
        <f t="shared" si="1"/>
        <v>748</v>
      </c>
      <c r="AK106" s="108">
        <f t="shared" si="1"/>
        <v>66799.025933417288</v>
      </c>
    </row>
    <row r="107" spans="1:37" ht="14.4">
      <c r="A107" s="154" t="s">
        <v>156</v>
      </c>
      <c r="B107" s="159"/>
      <c r="C107" s="156">
        <v>30609</v>
      </c>
      <c r="D107" s="164"/>
      <c r="E107" s="176">
        <v>524</v>
      </c>
      <c r="F107" s="164"/>
      <c r="G107" s="156"/>
      <c r="H107" s="156"/>
      <c r="I107" s="163">
        <v>31133</v>
      </c>
      <c r="J107" s="176">
        <v>583</v>
      </c>
      <c r="K107" s="163">
        <v>30550</v>
      </c>
      <c r="L107" s="162"/>
      <c r="M107" s="162"/>
      <c r="N107" s="162"/>
      <c r="O107" s="163"/>
      <c r="P107" s="162"/>
      <c r="Q107" s="163"/>
      <c r="R107" s="154"/>
      <c r="S107" s="154"/>
      <c r="T107" s="154"/>
      <c r="U107" s="161" t="s">
        <v>157</v>
      </c>
      <c r="V107" s="154"/>
      <c r="W107" s="154"/>
      <c r="X107" s="200">
        <v>188.4828</v>
      </c>
      <c r="AA107" s="103" t="s">
        <v>156</v>
      </c>
      <c r="AB107" s="117"/>
      <c r="AC107" s="113">
        <f>C107-C160</f>
        <v>30609</v>
      </c>
      <c r="AD107" s="113">
        <f t="shared" si="1"/>
        <v>0</v>
      </c>
      <c r="AE107" s="112">
        <f t="shared" si="1"/>
        <v>524</v>
      </c>
      <c r="AF107" s="113">
        <f t="shared" si="1"/>
        <v>0</v>
      </c>
      <c r="AG107" s="113">
        <f t="shared" si="1"/>
        <v>0</v>
      </c>
      <c r="AH107" s="113">
        <f t="shared" si="1"/>
        <v>0</v>
      </c>
      <c r="AI107" s="113">
        <f t="shared" si="1"/>
        <v>31133</v>
      </c>
      <c r="AJ107" s="112">
        <f t="shared" si="1"/>
        <v>583</v>
      </c>
      <c r="AK107" s="113">
        <f t="shared" si="1"/>
        <v>30550</v>
      </c>
    </row>
    <row r="108" spans="1:37" ht="14.4">
      <c r="A108" s="154"/>
      <c r="B108" s="159"/>
      <c r="C108" s="155"/>
      <c r="D108" s="154"/>
      <c r="E108" s="154"/>
      <c r="F108" s="154"/>
      <c r="G108" s="155"/>
      <c r="H108" s="155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61" t="s">
        <v>158</v>
      </c>
      <c r="V108" s="154"/>
      <c r="W108" s="154"/>
      <c r="X108" s="200">
        <v>335.5172</v>
      </c>
      <c r="AB108" s="117"/>
      <c r="AC108" s="108">
        <f t="shared" ref="AC108:AK123" si="2">C108-C161</f>
        <v>0</v>
      </c>
      <c r="AD108" s="108">
        <f t="shared" si="2"/>
        <v>0</v>
      </c>
      <c r="AE108" s="108">
        <f t="shared" si="2"/>
        <v>0</v>
      </c>
      <c r="AF108" s="108">
        <f t="shared" si="2"/>
        <v>0</v>
      </c>
      <c r="AG108" s="108">
        <f t="shared" si="2"/>
        <v>0</v>
      </c>
      <c r="AH108" s="108">
        <f t="shared" si="2"/>
        <v>0</v>
      </c>
      <c r="AI108" s="108">
        <f t="shared" si="2"/>
        <v>0</v>
      </c>
      <c r="AJ108" s="110">
        <f t="shared" si="2"/>
        <v>0</v>
      </c>
      <c r="AK108" s="108">
        <f t="shared" si="2"/>
        <v>0</v>
      </c>
    </row>
    <row r="109" spans="1:37" ht="14.4">
      <c r="A109" s="154" t="s">
        <v>159</v>
      </c>
      <c r="B109" s="159"/>
      <c r="C109" s="155">
        <v>36536</v>
      </c>
      <c r="D109" s="155">
        <v>0</v>
      </c>
      <c r="E109" s="155">
        <v>405</v>
      </c>
      <c r="F109" s="155">
        <v>0</v>
      </c>
      <c r="G109" s="155">
        <v>0</v>
      </c>
      <c r="H109" s="155">
        <v>0</v>
      </c>
      <c r="I109" s="155">
        <v>36941</v>
      </c>
      <c r="J109" s="174">
        <v>165</v>
      </c>
      <c r="K109" s="162">
        <v>36776</v>
      </c>
      <c r="L109" s="162"/>
      <c r="M109" s="162"/>
      <c r="N109" s="162"/>
      <c r="O109" s="155"/>
      <c r="P109" s="162"/>
      <c r="Q109" s="155"/>
      <c r="R109" s="154"/>
      <c r="S109" s="162"/>
      <c r="T109" s="154"/>
      <c r="U109" s="154"/>
      <c r="V109" s="154"/>
      <c r="W109" s="154"/>
      <c r="X109" s="154"/>
      <c r="AA109" s="103" t="s">
        <v>159</v>
      </c>
      <c r="AB109" s="117"/>
      <c r="AC109" s="108">
        <f t="shared" si="2"/>
        <v>36536</v>
      </c>
      <c r="AD109" s="108">
        <f t="shared" si="2"/>
        <v>0</v>
      </c>
      <c r="AE109" s="108">
        <f t="shared" si="2"/>
        <v>405</v>
      </c>
      <c r="AF109" s="108">
        <f t="shared" si="2"/>
        <v>0</v>
      </c>
      <c r="AG109" s="108">
        <f t="shared" si="2"/>
        <v>0</v>
      </c>
      <c r="AH109" s="108">
        <f t="shared" si="2"/>
        <v>0</v>
      </c>
      <c r="AI109" s="108">
        <f t="shared" si="2"/>
        <v>36941</v>
      </c>
      <c r="AJ109" s="110">
        <f t="shared" si="2"/>
        <v>165</v>
      </c>
      <c r="AK109" s="108">
        <f t="shared" si="2"/>
        <v>34000.398498730014</v>
      </c>
    </row>
    <row r="110" spans="1:37" ht="14.4">
      <c r="A110" s="154"/>
      <c r="B110" s="159"/>
      <c r="C110" s="155"/>
      <c r="D110" s="154"/>
      <c r="E110" s="154"/>
      <c r="F110" s="154"/>
      <c r="G110" s="155"/>
      <c r="H110" s="155"/>
      <c r="I110" s="154"/>
      <c r="J110" s="154"/>
      <c r="K110" s="154"/>
      <c r="L110" s="181"/>
      <c r="M110" s="154"/>
      <c r="N110" s="154"/>
      <c r="O110" s="154"/>
      <c r="P110" s="154"/>
      <c r="Q110" s="154"/>
      <c r="R110" s="154"/>
      <c r="S110" s="162"/>
      <c r="T110" s="198">
        <v>0</v>
      </c>
      <c r="U110" s="161" t="s">
        <v>160</v>
      </c>
      <c r="V110" s="154"/>
      <c r="W110" s="154"/>
      <c r="X110" s="154"/>
      <c r="AB110" s="117"/>
      <c r="AC110" s="108">
        <f t="shared" si="2"/>
        <v>0</v>
      </c>
      <c r="AD110" s="108">
        <f t="shared" si="2"/>
        <v>0</v>
      </c>
      <c r="AE110" s="108">
        <f t="shared" si="2"/>
        <v>0</v>
      </c>
      <c r="AF110" s="108">
        <f t="shared" si="2"/>
        <v>0</v>
      </c>
      <c r="AG110" s="108">
        <f t="shared" si="2"/>
        <v>0</v>
      </c>
      <c r="AH110" s="108">
        <f t="shared" si="2"/>
        <v>0</v>
      </c>
      <c r="AI110" s="108">
        <f t="shared" si="2"/>
        <v>0</v>
      </c>
      <c r="AJ110" s="110">
        <f t="shared" si="2"/>
        <v>0</v>
      </c>
      <c r="AK110" s="108">
        <f t="shared" si="2"/>
        <v>-2665.8305620537099</v>
      </c>
    </row>
    <row r="111" spans="1:37" ht="14.4">
      <c r="A111" s="154" t="s">
        <v>161</v>
      </c>
      <c r="B111" s="159"/>
      <c r="C111" s="158">
        <v>0</v>
      </c>
      <c r="D111" s="154"/>
      <c r="E111" s="155">
        <v>0</v>
      </c>
      <c r="F111" s="155">
        <v>-5189</v>
      </c>
      <c r="G111" s="155"/>
      <c r="H111" s="155"/>
      <c r="I111" s="162">
        <v>-5189</v>
      </c>
      <c r="J111" s="174">
        <v>-5189</v>
      </c>
      <c r="K111" s="162">
        <v>0</v>
      </c>
      <c r="L111" s="154"/>
      <c r="M111" s="162"/>
      <c r="N111" s="162"/>
      <c r="O111" s="162">
        <v>0</v>
      </c>
      <c r="P111" s="162"/>
      <c r="Q111" s="162">
        <v>-5189</v>
      </c>
      <c r="R111" s="154"/>
      <c r="S111" s="154"/>
      <c r="T111" s="154">
        <v>324.88</v>
      </c>
      <c r="U111" s="161" t="s">
        <v>162</v>
      </c>
      <c r="V111" s="154"/>
      <c r="W111" s="154"/>
      <c r="X111" s="200">
        <v>748</v>
      </c>
      <c r="AA111" s="103" t="s">
        <v>161</v>
      </c>
      <c r="AB111" s="117"/>
      <c r="AC111" s="118">
        <f t="shared" si="2"/>
        <v>0</v>
      </c>
      <c r="AD111" s="108">
        <f t="shared" si="2"/>
        <v>0</v>
      </c>
      <c r="AE111" s="108">
        <f t="shared" si="2"/>
        <v>0</v>
      </c>
      <c r="AF111" s="108">
        <f t="shared" si="2"/>
        <v>-5189</v>
      </c>
      <c r="AG111" s="108">
        <f t="shared" si="2"/>
        <v>0</v>
      </c>
      <c r="AH111" s="108">
        <f t="shared" si="2"/>
        <v>0</v>
      </c>
      <c r="AI111" s="108">
        <f t="shared" si="2"/>
        <v>-5189</v>
      </c>
      <c r="AJ111" s="110">
        <f t="shared" si="2"/>
        <v>-5189</v>
      </c>
      <c r="AK111" s="108">
        <f t="shared" si="2"/>
        <v>-185.44597201318413</v>
      </c>
    </row>
    <row r="112" spans="1:37" ht="14.4">
      <c r="A112" s="154"/>
      <c r="B112" s="159"/>
      <c r="C112" s="155"/>
      <c r="D112" s="154"/>
      <c r="E112" s="155"/>
      <c r="F112" s="154"/>
      <c r="G112" s="155"/>
      <c r="H112" s="155"/>
      <c r="I112" s="154"/>
      <c r="J112" s="154"/>
      <c r="K112" s="154"/>
      <c r="L112" s="162"/>
      <c r="M112" s="154"/>
      <c r="N112" s="154"/>
      <c r="O112" s="154"/>
      <c r="P112" s="154"/>
      <c r="Q112" s="154"/>
      <c r="R112" s="154"/>
      <c r="S112" s="162"/>
      <c r="T112" s="154"/>
      <c r="U112" s="161" t="s">
        <v>163</v>
      </c>
      <c r="V112" s="154"/>
      <c r="W112" s="154"/>
      <c r="X112" s="200">
        <v>247.06439999999998</v>
      </c>
      <c r="AB112" s="117"/>
      <c r="AC112" s="108">
        <f t="shared" si="2"/>
        <v>0</v>
      </c>
      <c r="AD112" s="108">
        <f t="shared" si="2"/>
        <v>0</v>
      </c>
      <c r="AE112" s="108">
        <f t="shared" si="2"/>
        <v>0</v>
      </c>
      <c r="AF112" s="108">
        <f t="shared" si="2"/>
        <v>0</v>
      </c>
      <c r="AG112" s="108">
        <f t="shared" si="2"/>
        <v>0</v>
      </c>
      <c r="AH112" s="108">
        <f t="shared" si="2"/>
        <v>0</v>
      </c>
      <c r="AI112" s="108">
        <f t="shared" si="2"/>
        <v>0</v>
      </c>
      <c r="AJ112" s="110">
        <f t="shared" si="2"/>
        <v>0</v>
      </c>
      <c r="AK112" s="108">
        <f t="shared" si="2"/>
        <v>-75.6750327969051</v>
      </c>
    </row>
    <row r="113" spans="1:37" ht="14.4">
      <c r="A113" s="154" t="s">
        <v>164</v>
      </c>
      <c r="B113" s="159"/>
      <c r="C113" s="158">
        <v>2730</v>
      </c>
      <c r="D113" s="154"/>
      <c r="E113" s="155">
        <v>2</v>
      </c>
      <c r="F113" s="155">
        <v>21</v>
      </c>
      <c r="G113" s="155"/>
      <c r="H113" s="155"/>
      <c r="I113" s="162">
        <v>2753</v>
      </c>
      <c r="J113" s="162"/>
      <c r="K113" s="162">
        <v>2753</v>
      </c>
      <c r="L113" s="154"/>
      <c r="M113" s="162"/>
      <c r="N113" s="162"/>
      <c r="O113" s="162">
        <v>2</v>
      </c>
      <c r="P113" s="162"/>
      <c r="Q113" s="162">
        <v>21</v>
      </c>
      <c r="R113" s="154"/>
      <c r="S113" s="154"/>
      <c r="T113" s="154"/>
      <c r="U113" s="161" t="s">
        <v>165</v>
      </c>
      <c r="V113" s="154"/>
      <c r="W113" s="154"/>
      <c r="X113" s="200">
        <v>500.93560000000002</v>
      </c>
      <c r="Y113" s="154"/>
      <c r="AA113" s="103" t="s">
        <v>164</v>
      </c>
      <c r="AB113" s="117"/>
      <c r="AC113" s="118">
        <f t="shared" si="2"/>
        <v>2730</v>
      </c>
      <c r="AD113" s="108">
        <f t="shared" si="2"/>
        <v>0</v>
      </c>
      <c r="AE113" s="108">
        <f t="shared" si="2"/>
        <v>2</v>
      </c>
      <c r="AF113" s="108">
        <f t="shared" si="2"/>
        <v>21</v>
      </c>
      <c r="AG113" s="108">
        <f t="shared" si="2"/>
        <v>0</v>
      </c>
      <c r="AH113" s="108">
        <f t="shared" si="2"/>
        <v>0</v>
      </c>
      <c r="AI113" s="108">
        <f t="shared" si="2"/>
        <v>2753</v>
      </c>
      <c r="AJ113" s="110">
        <f t="shared" si="2"/>
        <v>0</v>
      </c>
      <c r="AK113" s="119">
        <f t="shared" si="2"/>
        <v>2753</v>
      </c>
    </row>
    <row r="114" spans="1:37" ht="14.4">
      <c r="A114" s="154" t="s">
        <v>166</v>
      </c>
      <c r="B114" s="159"/>
      <c r="C114" s="155">
        <v>3617</v>
      </c>
      <c r="D114" s="154"/>
      <c r="E114" s="155"/>
      <c r="F114" s="154"/>
      <c r="G114" s="155"/>
      <c r="H114" s="155"/>
      <c r="I114" s="162">
        <v>3617</v>
      </c>
      <c r="J114" s="154"/>
      <c r="K114" s="162">
        <v>3617</v>
      </c>
      <c r="L114" s="154"/>
      <c r="M114" s="162"/>
      <c r="N114" s="162"/>
      <c r="O114" s="162">
        <v>0</v>
      </c>
      <c r="P114" s="162"/>
      <c r="Q114" s="162">
        <v>0</v>
      </c>
      <c r="R114" s="154"/>
      <c r="S114" s="154"/>
      <c r="T114" s="154"/>
      <c r="U114" s="154"/>
      <c r="V114" s="154"/>
      <c r="W114" s="154"/>
      <c r="X114" s="154"/>
      <c r="Y114" s="154"/>
      <c r="AA114" s="103" t="s">
        <v>166</v>
      </c>
      <c r="AB114" s="117"/>
      <c r="AC114" s="108">
        <f t="shared" si="2"/>
        <v>3617</v>
      </c>
      <c r="AD114" s="108">
        <f t="shared" si="2"/>
        <v>0</v>
      </c>
      <c r="AE114" s="108">
        <f t="shared" si="2"/>
        <v>0</v>
      </c>
      <c r="AF114" s="108">
        <f t="shared" si="2"/>
        <v>0</v>
      </c>
      <c r="AG114" s="108">
        <f t="shared" si="2"/>
        <v>0</v>
      </c>
      <c r="AH114" s="108">
        <f t="shared" si="2"/>
        <v>0</v>
      </c>
      <c r="AI114" s="108">
        <f t="shared" si="2"/>
        <v>3617</v>
      </c>
      <c r="AJ114" s="110">
        <f t="shared" si="2"/>
        <v>0</v>
      </c>
      <c r="AK114" s="119">
        <f t="shared" si="2"/>
        <v>-13300.330943327237</v>
      </c>
    </row>
    <row r="115" spans="1:37" ht="14.4">
      <c r="A115" s="154"/>
      <c r="B115" s="159"/>
      <c r="C115" s="155"/>
      <c r="D115" s="154"/>
      <c r="E115" s="155"/>
      <c r="F115" s="154"/>
      <c r="G115" s="155"/>
      <c r="H115" s="155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54"/>
      <c r="T115" s="162">
        <v>284.24</v>
      </c>
      <c r="U115" s="154"/>
      <c r="V115" s="154"/>
      <c r="W115" s="154"/>
      <c r="X115" s="154"/>
      <c r="Y115" s="154"/>
      <c r="AB115" s="117"/>
      <c r="AC115" s="108">
        <f t="shared" si="2"/>
        <v>0</v>
      </c>
      <c r="AD115" s="108">
        <f t="shared" si="2"/>
        <v>0</v>
      </c>
      <c r="AE115" s="108">
        <f t="shared" si="2"/>
        <v>0</v>
      </c>
      <c r="AF115" s="108">
        <f t="shared" si="2"/>
        <v>0</v>
      </c>
      <c r="AG115" s="108">
        <f t="shared" si="2"/>
        <v>0</v>
      </c>
      <c r="AH115" s="108">
        <f t="shared" si="2"/>
        <v>0</v>
      </c>
      <c r="AI115" s="108">
        <f t="shared" si="2"/>
        <v>0</v>
      </c>
      <c r="AJ115" s="110">
        <f t="shared" si="2"/>
        <v>0</v>
      </c>
      <c r="AK115" s="108">
        <f t="shared" si="2"/>
        <v>-6660.0517582020475</v>
      </c>
    </row>
    <row r="116" spans="1:37" ht="14.4">
      <c r="A116" s="154" t="s">
        <v>167</v>
      </c>
      <c r="B116" s="159"/>
      <c r="C116" s="155"/>
      <c r="D116" s="154"/>
      <c r="E116" s="155"/>
      <c r="F116" s="154"/>
      <c r="G116" s="155"/>
      <c r="H116" s="155"/>
      <c r="I116" s="154"/>
      <c r="J116" s="154"/>
      <c r="K116" s="154"/>
      <c r="L116" s="154"/>
      <c r="M116" s="154"/>
      <c r="N116" s="154"/>
      <c r="O116" s="154"/>
      <c r="P116" s="154"/>
      <c r="Q116" s="154"/>
      <c r="R116" s="154"/>
      <c r="S116" s="154"/>
      <c r="T116" s="162">
        <v>-284.24</v>
      </c>
      <c r="U116" s="161" t="s">
        <v>168</v>
      </c>
      <c r="V116" s="154"/>
      <c r="W116" s="154"/>
      <c r="X116" s="161" t="s">
        <v>169</v>
      </c>
      <c r="Y116" s="154"/>
      <c r="AA116" s="103" t="s">
        <v>167</v>
      </c>
      <c r="AB116" s="117"/>
      <c r="AC116" s="108">
        <f t="shared" si="2"/>
        <v>0</v>
      </c>
      <c r="AD116" s="108">
        <f t="shared" si="2"/>
        <v>0</v>
      </c>
      <c r="AE116" s="108">
        <f t="shared" si="2"/>
        <v>0</v>
      </c>
      <c r="AF116" s="108">
        <f t="shared" si="2"/>
        <v>0</v>
      </c>
      <c r="AG116" s="108">
        <f t="shared" si="2"/>
        <v>0</v>
      </c>
      <c r="AH116" s="108">
        <f t="shared" si="2"/>
        <v>0</v>
      </c>
      <c r="AI116" s="108">
        <f t="shared" si="2"/>
        <v>0</v>
      </c>
      <c r="AJ116" s="110">
        <f t="shared" si="2"/>
        <v>0</v>
      </c>
      <c r="AK116" s="108">
        <f t="shared" si="2"/>
        <v>-5486.9068051513486</v>
      </c>
    </row>
    <row r="117" spans="1:37" ht="14.4">
      <c r="A117" s="154" t="s">
        <v>170</v>
      </c>
      <c r="B117" s="159"/>
      <c r="C117" s="174">
        <v>4580</v>
      </c>
      <c r="D117" s="154"/>
      <c r="E117" s="174">
        <v>400</v>
      </c>
      <c r="F117" s="154"/>
      <c r="G117" s="155"/>
      <c r="H117" s="114"/>
      <c r="I117" s="162">
        <v>4980</v>
      </c>
      <c r="J117" s="154"/>
      <c r="K117" s="162">
        <v>4980</v>
      </c>
      <c r="L117" s="154"/>
      <c r="M117" s="162"/>
      <c r="N117" s="162"/>
      <c r="O117" s="162">
        <v>400</v>
      </c>
      <c r="P117" s="162"/>
      <c r="Q117" s="162">
        <v>0</v>
      </c>
      <c r="R117" s="154"/>
      <c r="S117" s="154"/>
      <c r="T117" s="154"/>
      <c r="U117" s="161" t="s">
        <v>171</v>
      </c>
      <c r="V117" s="154"/>
      <c r="W117" s="154"/>
      <c r="X117" s="162">
        <v>335.5172</v>
      </c>
      <c r="Y117" s="161" t="s">
        <v>172</v>
      </c>
      <c r="AA117" s="103" t="s">
        <v>170</v>
      </c>
      <c r="AB117" s="117"/>
      <c r="AC117" s="110">
        <f t="shared" si="2"/>
        <v>4580</v>
      </c>
      <c r="AD117" s="108">
        <f t="shared" si="2"/>
        <v>0</v>
      </c>
      <c r="AE117" s="110">
        <f t="shared" si="2"/>
        <v>400</v>
      </c>
      <c r="AF117" s="108">
        <f t="shared" si="2"/>
        <v>0</v>
      </c>
      <c r="AG117" s="108">
        <f t="shared" si="2"/>
        <v>0</v>
      </c>
      <c r="AH117" s="114">
        <f t="shared" si="2"/>
        <v>0</v>
      </c>
      <c r="AI117" s="108">
        <f t="shared" si="2"/>
        <v>4980</v>
      </c>
      <c r="AJ117" s="110">
        <f t="shared" si="2"/>
        <v>0</v>
      </c>
      <c r="AK117" s="108">
        <f t="shared" si="2"/>
        <v>3806.8550469493011</v>
      </c>
    </row>
    <row r="118" spans="1:37" ht="14.4">
      <c r="A118" s="154" t="s">
        <v>173</v>
      </c>
      <c r="B118" s="159"/>
      <c r="C118" s="174">
        <v>9690</v>
      </c>
      <c r="D118" s="154"/>
      <c r="E118" s="174">
        <v>773</v>
      </c>
      <c r="F118" s="154"/>
      <c r="G118" s="155"/>
      <c r="H118" s="155"/>
      <c r="I118" s="162">
        <v>10463</v>
      </c>
      <c r="J118" s="174"/>
      <c r="K118" s="162">
        <v>10463</v>
      </c>
      <c r="L118" s="154"/>
      <c r="M118" s="162"/>
      <c r="N118" s="162"/>
      <c r="O118" s="162">
        <v>773</v>
      </c>
      <c r="P118" s="162"/>
      <c r="Q118" s="162">
        <v>0</v>
      </c>
      <c r="R118" s="154"/>
      <c r="S118" s="154"/>
      <c r="T118" s="154"/>
      <c r="U118" s="161" t="s">
        <v>174</v>
      </c>
      <c r="V118" s="154"/>
      <c r="W118" s="154"/>
      <c r="X118" s="200">
        <v>500.93560000000002</v>
      </c>
      <c r="Y118" s="161" t="s">
        <v>175</v>
      </c>
      <c r="AA118" s="103" t="s">
        <v>173</v>
      </c>
      <c r="AB118" s="117"/>
      <c r="AC118" s="110">
        <f t="shared" si="2"/>
        <v>9690</v>
      </c>
      <c r="AD118" s="108">
        <f t="shared" si="2"/>
        <v>0</v>
      </c>
      <c r="AE118" s="110">
        <f t="shared" si="2"/>
        <v>773</v>
      </c>
      <c r="AF118" s="108">
        <f t="shared" si="2"/>
        <v>0</v>
      </c>
      <c r="AG118" s="108">
        <f t="shared" si="2"/>
        <v>0</v>
      </c>
      <c r="AH118" s="108">
        <f t="shared" si="2"/>
        <v>0</v>
      </c>
      <c r="AI118" s="108">
        <f t="shared" si="2"/>
        <v>10463</v>
      </c>
      <c r="AJ118" s="110">
        <f t="shared" si="2"/>
        <v>0</v>
      </c>
      <c r="AK118" s="108">
        <f t="shared" si="2"/>
        <v>10463</v>
      </c>
    </row>
    <row r="119" spans="1:37" ht="14.4">
      <c r="A119" s="154" t="s">
        <v>176</v>
      </c>
      <c r="B119" s="159"/>
      <c r="C119" s="174">
        <v>737</v>
      </c>
      <c r="D119" s="154"/>
      <c r="E119" s="174"/>
      <c r="F119" s="154"/>
      <c r="G119" s="155"/>
      <c r="H119" s="155"/>
      <c r="I119" s="162">
        <v>737</v>
      </c>
      <c r="J119" s="154"/>
      <c r="K119" s="162">
        <v>737</v>
      </c>
      <c r="L119" s="154"/>
      <c r="M119" s="162"/>
      <c r="N119" s="162"/>
      <c r="O119" s="162">
        <v>0</v>
      </c>
      <c r="P119" s="162"/>
      <c r="Q119" s="162">
        <v>0</v>
      </c>
      <c r="R119" s="154"/>
      <c r="S119" s="154"/>
      <c r="T119" s="154"/>
      <c r="U119" s="161" t="s">
        <v>177</v>
      </c>
      <c r="V119" s="154"/>
      <c r="W119" s="154"/>
      <c r="X119" s="162">
        <v>-165.41840000000002</v>
      </c>
      <c r="Y119" s="161" t="s">
        <v>175</v>
      </c>
      <c r="AA119" s="103" t="s">
        <v>176</v>
      </c>
      <c r="AB119" s="117"/>
      <c r="AC119" s="110">
        <f t="shared" si="2"/>
        <v>737</v>
      </c>
      <c r="AD119" s="108">
        <f t="shared" si="2"/>
        <v>0</v>
      </c>
      <c r="AE119" s="110">
        <f t="shared" si="2"/>
        <v>0</v>
      </c>
      <c r="AF119" s="108">
        <f t="shared" si="2"/>
        <v>0</v>
      </c>
      <c r="AG119" s="108">
        <f t="shared" si="2"/>
        <v>0</v>
      </c>
      <c r="AH119" s="108">
        <f t="shared" si="2"/>
        <v>0</v>
      </c>
      <c r="AI119" s="108">
        <f t="shared" si="2"/>
        <v>737</v>
      </c>
      <c r="AJ119" s="110">
        <f t="shared" si="2"/>
        <v>0</v>
      </c>
      <c r="AK119" s="108">
        <f t="shared" si="2"/>
        <v>-9520.2791851251895</v>
      </c>
    </row>
    <row r="120" spans="1:37" ht="14.4">
      <c r="A120" s="154" t="s">
        <v>178</v>
      </c>
      <c r="B120" s="159"/>
      <c r="C120" s="176">
        <v>7142</v>
      </c>
      <c r="D120" s="164"/>
      <c r="E120" s="176">
        <v>754</v>
      </c>
      <c r="F120" s="164"/>
      <c r="G120" s="156"/>
      <c r="H120" s="156"/>
      <c r="I120" s="163">
        <v>7896</v>
      </c>
      <c r="J120" s="164"/>
      <c r="K120" s="163">
        <v>7896</v>
      </c>
      <c r="L120" s="154"/>
      <c r="M120" s="162"/>
      <c r="N120" s="162"/>
      <c r="O120" s="163">
        <v>754</v>
      </c>
      <c r="P120" s="162"/>
      <c r="Q120" s="163">
        <v>0</v>
      </c>
      <c r="R120" s="154"/>
      <c r="S120" s="154"/>
      <c r="T120" s="154"/>
      <c r="U120" s="154"/>
      <c r="V120" s="154"/>
      <c r="W120" s="154"/>
      <c r="X120" s="154"/>
      <c r="Y120" s="154"/>
      <c r="AA120" s="103" t="s">
        <v>178</v>
      </c>
      <c r="AB120" s="117"/>
      <c r="AC120" s="112">
        <f t="shared" si="2"/>
        <v>7142</v>
      </c>
      <c r="AD120" s="113">
        <f t="shared" si="2"/>
        <v>0</v>
      </c>
      <c r="AE120" s="112">
        <f t="shared" si="2"/>
        <v>754</v>
      </c>
      <c r="AF120" s="113">
        <f t="shared" si="2"/>
        <v>0</v>
      </c>
      <c r="AG120" s="113">
        <f t="shared" si="2"/>
        <v>0</v>
      </c>
      <c r="AH120" s="113">
        <f t="shared" si="2"/>
        <v>0</v>
      </c>
      <c r="AI120" s="113">
        <f t="shared" si="2"/>
        <v>7896</v>
      </c>
      <c r="AJ120" s="112">
        <f t="shared" si="2"/>
        <v>0</v>
      </c>
      <c r="AK120" s="113">
        <f t="shared" si="2"/>
        <v>7895.4043176475052</v>
      </c>
    </row>
    <row r="121" spans="1:37" ht="14.4">
      <c r="A121" s="154"/>
      <c r="B121" s="159"/>
      <c r="C121" s="174">
        <v>22149</v>
      </c>
      <c r="D121" s="154"/>
      <c r="E121" s="174">
        <v>1927</v>
      </c>
      <c r="F121" s="155">
        <v>0</v>
      </c>
      <c r="G121" s="155">
        <v>0</v>
      </c>
      <c r="H121" s="155">
        <v>0</v>
      </c>
      <c r="I121" s="155">
        <v>24076</v>
      </c>
      <c r="J121" s="174">
        <v>0</v>
      </c>
      <c r="K121" s="155">
        <v>24076</v>
      </c>
      <c r="L121" s="154"/>
      <c r="M121" s="155"/>
      <c r="N121" s="155"/>
      <c r="O121" s="155">
        <v>1927</v>
      </c>
      <c r="P121" s="155"/>
      <c r="Q121" s="155">
        <v>0</v>
      </c>
      <c r="R121" s="154"/>
      <c r="S121" s="154"/>
      <c r="T121" s="154"/>
      <c r="U121" s="154"/>
      <c r="V121" s="154"/>
      <c r="W121" s="154"/>
      <c r="X121" s="154"/>
      <c r="Y121" s="154"/>
      <c r="AB121" s="117"/>
      <c r="AC121" s="110">
        <f t="shared" si="2"/>
        <v>22149</v>
      </c>
      <c r="AD121" s="108">
        <f t="shared" si="2"/>
        <v>0</v>
      </c>
      <c r="AE121" s="110">
        <f t="shared" si="2"/>
        <v>1927</v>
      </c>
      <c r="AF121" s="108">
        <f t="shared" si="2"/>
        <v>0</v>
      </c>
      <c r="AG121" s="108">
        <f t="shared" si="2"/>
        <v>0</v>
      </c>
      <c r="AH121" s="108">
        <f t="shared" si="2"/>
        <v>0</v>
      </c>
      <c r="AI121" s="108">
        <f t="shared" si="2"/>
        <v>24076</v>
      </c>
      <c r="AJ121" s="110">
        <f t="shared" si="2"/>
        <v>0</v>
      </c>
      <c r="AK121" s="119">
        <f t="shared" si="2"/>
        <v>24076</v>
      </c>
    </row>
    <row r="122" spans="1:37" ht="14.4">
      <c r="A122" s="154" t="s">
        <v>179</v>
      </c>
      <c r="B122" s="159"/>
      <c r="C122" s="185"/>
      <c r="D122" s="154"/>
      <c r="E122" s="174"/>
      <c r="F122" s="154"/>
      <c r="G122" s="155"/>
      <c r="H122" s="155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AA122" s="103" t="s">
        <v>179</v>
      </c>
      <c r="AB122" s="117"/>
      <c r="AC122" s="120">
        <f t="shared" si="2"/>
        <v>0</v>
      </c>
      <c r="AD122" s="108">
        <f t="shared" si="2"/>
        <v>0</v>
      </c>
      <c r="AE122" s="110">
        <f t="shared" si="2"/>
        <v>0</v>
      </c>
      <c r="AF122" s="108">
        <f t="shared" si="2"/>
        <v>0</v>
      </c>
      <c r="AG122" s="108">
        <f t="shared" si="2"/>
        <v>0</v>
      </c>
      <c r="AH122" s="108">
        <f t="shared" si="2"/>
        <v>0</v>
      </c>
      <c r="AI122" s="108">
        <f t="shared" si="2"/>
        <v>0</v>
      </c>
      <c r="AJ122" s="110">
        <f t="shared" si="2"/>
        <v>0</v>
      </c>
      <c r="AK122" s="108">
        <f t="shared" si="2"/>
        <v>-10552.775973267757</v>
      </c>
    </row>
    <row r="123" spans="1:37" ht="14.4">
      <c r="A123" s="154" t="s">
        <v>180</v>
      </c>
      <c r="B123" s="159"/>
      <c r="C123" s="174">
        <v>827</v>
      </c>
      <c r="D123" s="154"/>
      <c r="E123" s="174">
        <v>189</v>
      </c>
      <c r="F123" s="154">
        <v>135</v>
      </c>
      <c r="G123" s="155"/>
      <c r="H123" s="155"/>
      <c r="I123" s="162">
        <v>1151</v>
      </c>
      <c r="J123" s="154"/>
      <c r="K123" s="162">
        <v>1151</v>
      </c>
      <c r="L123" s="154"/>
      <c r="M123" s="162"/>
      <c r="N123" s="162"/>
      <c r="O123" s="162">
        <v>189</v>
      </c>
      <c r="P123" s="162"/>
      <c r="Q123" s="162">
        <v>135</v>
      </c>
      <c r="R123" s="154"/>
      <c r="S123" s="154"/>
      <c r="T123" s="154"/>
      <c r="U123" s="154"/>
      <c r="V123" s="154"/>
      <c r="W123" s="154"/>
      <c r="X123" s="154"/>
      <c r="Y123" s="154"/>
      <c r="AA123" s="103" t="s">
        <v>180</v>
      </c>
      <c r="AB123" s="117"/>
      <c r="AC123" s="110">
        <f t="shared" si="2"/>
        <v>827</v>
      </c>
      <c r="AD123" s="108">
        <f t="shared" si="2"/>
        <v>0</v>
      </c>
      <c r="AE123" s="110">
        <f t="shared" si="2"/>
        <v>189</v>
      </c>
      <c r="AF123" s="110">
        <f t="shared" si="2"/>
        <v>135</v>
      </c>
      <c r="AG123" s="108">
        <f t="shared" si="2"/>
        <v>0</v>
      </c>
      <c r="AH123" s="108">
        <f t="shared" si="2"/>
        <v>0</v>
      </c>
      <c r="AI123" s="108">
        <f t="shared" si="2"/>
        <v>1151</v>
      </c>
      <c r="AJ123" s="110">
        <f t="shared" si="2"/>
        <v>0</v>
      </c>
      <c r="AK123" s="119">
        <f t="shared" si="2"/>
        <v>-4557.2018461197977</v>
      </c>
    </row>
    <row r="124" spans="1:37" ht="14.4">
      <c r="A124" s="154" t="s">
        <v>181</v>
      </c>
      <c r="B124" s="159"/>
      <c r="C124" s="174">
        <v>6748</v>
      </c>
      <c r="D124" s="154"/>
      <c r="E124" s="174">
        <v>211</v>
      </c>
      <c r="F124" s="155">
        <v>100</v>
      </c>
      <c r="G124" s="155"/>
      <c r="H124" s="155"/>
      <c r="I124" s="162">
        <v>7059</v>
      </c>
      <c r="J124" s="154"/>
      <c r="K124" s="162">
        <v>7059</v>
      </c>
      <c r="L124" s="154"/>
      <c r="M124" s="162"/>
      <c r="N124" s="162"/>
      <c r="O124" s="162">
        <v>211</v>
      </c>
      <c r="P124" s="162"/>
      <c r="Q124" s="162">
        <v>100</v>
      </c>
      <c r="R124" s="154"/>
      <c r="S124" s="154"/>
      <c r="T124" s="154"/>
      <c r="U124" s="154"/>
      <c r="V124" s="154"/>
      <c r="W124" s="154"/>
      <c r="X124" s="154"/>
      <c r="Y124" s="154"/>
      <c r="AA124" s="103" t="s">
        <v>181</v>
      </c>
      <c r="AB124" s="117"/>
      <c r="AC124" s="110">
        <f t="shared" ref="AC124:AK139" si="3">C124-C177</f>
        <v>6748</v>
      </c>
      <c r="AD124" s="108">
        <f t="shared" si="3"/>
        <v>0</v>
      </c>
      <c r="AE124" s="110">
        <f t="shared" si="3"/>
        <v>211</v>
      </c>
      <c r="AF124" s="108">
        <f t="shared" si="3"/>
        <v>100</v>
      </c>
      <c r="AG124" s="108">
        <f t="shared" si="3"/>
        <v>0</v>
      </c>
      <c r="AH124" s="108">
        <f t="shared" si="3"/>
        <v>0</v>
      </c>
      <c r="AI124" s="108">
        <f t="shared" si="3"/>
        <v>7059</v>
      </c>
      <c r="AJ124" s="110">
        <f t="shared" si="3"/>
        <v>0</v>
      </c>
      <c r="AK124" s="108">
        <f t="shared" si="3"/>
        <v>2214.4258728520408</v>
      </c>
    </row>
    <row r="125" spans="1:37" ht="14.4">
      <c r="A125" s="154" t="s">
        <v>182</v>
      </c>
      <c r="B125" s="159"/>
      <c r="C125" s="174">
        <v>8866</v>
      </c>
      <c r="D125" s="154"/>
      <c r="E125" s="174">
        <v>4</v>
      </c>
      <c r="F125" s="155"/>
      <c r="G125" s="155"/>
      <c r="H125" s="155"/>
      <c r="I125" s="162">
        <v>8870</v>
      </c>
      <c r="J125" s="162"/>
      <c r="K125" s="162">
        <v>8870</v>
      </c>
      <c r="L125" s="154"/>
      <c r="M125" s="162"/>
      <c r="N125" s="155"/>
      <c r="O125" s="162">
        <v>4</v>
      </c>
      <c r="P125" s="162"/>
      <c r="Q125" s="162">
        <v>0</v>
      </c>
      <c r="R125" s="154"/>
      <c r="S125" s="154"/>
      <c r="T125" s="154"/>
      <c r="U125" s="154"/>
      <c r="V125" s="154"/>
      <c r="W125" s="154"/>
      <c r="X125" s="154"/>
      <c r="Y125" s="154"/>
      <c r="AA125" s="103" t="s">
        <v>182</v>
      </c>
      <c r="AB125" s="117"/>
      <c r="AC125" s="110">
        <f t="shared" si="3"/>
        <v>8866</v>
      </c>
      <c r="AD125" s="108">
        <f t="shared" si="3"/>
        <v>0</v>
      </c>
      <c r="AE125" s="110">
        <f t="shared" si="3"/>
        <v>4</v>
      </c>
      <c r="AF125" s="108">
        <f t="shared" si="3"/>
        <v>0</v>
      </c>
      <c r="AG125" s="108">
        <f t="shared" si="3"/>
        <v>0</v>
      </c>
      <c r="AH125" s="108">
        <f t="shared" si="3"/>
        <v>0</v>
      </c>
      <c r="AI125" s="108">
        <f t="shared" si="3"/>
        <v>8870</v>
      </c>
      <c r="AJ125" s="110">
        <f t="shared" si="3"/>
        <v>0</v>
      </c>
      <c r="AK125" s="119">
        <f t="shared" si="3"/>
        <v>6339.2422282276839</v>
      </c>
    </row>
    <row r="126" spans="1:37" ht="14.4">
      <c r="A126" s="154" t="s">
        <v>183</v>
      </c>
      <c r="B126" s="159"/>
      <c r="C126" s="176">
        <v>574</v>
      </c>
      <c r="D126" s="164"/>
      <c r="E126" s="176">
        <v>0</v>
      </c>
      <c r="F126" s="164"/>
      <c r="G126" s="156"/>
      <c r="H126" s="156"/>
      <c r="I126" s="163">
        <v>574</v>
      </c>
      <c r="J126" s="176"/>
      <c r="K126" s="163">
        <v>574</v>
      </c>
      <c r="L126" s="154"/>
      <c r="M126" s="162"/>
      <c r="N126" s="162"/>
      <c r="O126" s="163">
        <v>0</v>
      </c>
      <c r="P126" s="162"/>
      <c r="Q126" s="163">
        <v>0</v>
      </c>
      <c r="R126" s="154"/>
      <c r="S126" s="154"/>
      <c r="T126" s="193"/>
      <c r="U126" s="154"/>
      <c r="V126" s="154"/>
      <c r="W126" s="154"/>
      <c r="X126" s="154"/>
      <c r="Y126" s="154"/>
      <c r="AA126" s="103" t="s">
        <v>183</v>
      </c>
      <c r="AB126" s="117"/>
      <c r="AC126" s="112">
        <f t="shared" si="3"/>
        <v>574</v>
      </c>
      <c r="AD126" s="113">
        <f t="shared" si="3"/>
        <v>0</v>
      </c>
      <c r="AE126" s="112">
        <f t="shared" si="3"/>
        <v>0</v>
      </c>
      <c r="AF126" s="113">
        <f t="shared" si="3"/>
        <v>0</v>
      </c>
      <c r="AG126" s="113">
        <f t="shared" si="3"/>
        <v>0</v>
      </c>
      <c r="AH126" s="113">
        <f t="shared" si="3"/>
        <v>0</v>
      </c>
      <c r="AI126" s="113">
        <f t="shared" si="3"/>
        <v>574</v>
      </c>
      <c r="AJ126" s="112">
        <f t="shared" si="3"/>
        <v>0</v>
      </c>
      <c r="AK126" s="121">
        <f t="shared" si="3"/>
        <v>-1399.1285357426675</v>
      </c>
    </row>
    <row r="127" spans="1:37" ht="14.4">
      <c r="A127" s="154"/>
      <c r="B127" s="159"/>
      <c r="C127" s="174">
        <v>17015</v>
      </c>
      <c r="D127" s="155">
        <v>0</v>
      </c>
      <c r="E127" s="155">
        <v>404</v>
      </c>
      <c r="F127" s="155">
        <v>235</v>
      </c>
      <c r="G127" s="155">
        <v>0</v>
      </c>
      <c r="H127" s="155">
        <v>0</v>
      </c>
      <c r="I127" s="155">
        <v>17654</v>
      </c>
      <c r="J127" s="174">
        <v>0</v>
      </c>
      <c r="K127" s="155">
        <v>17654</v>
      </c>
      <c r="L127" s="154"/>
      <c r="M127" s="155"/>
      <c r="N127" s="155"/>
      <c r="O127" s="155">
        <v>404</v>
      </c>
      <c r="P127" s="155"/>
      <c r="Q127" s="155">
        <v>235</v>
      </c>
      <c r="R127" s="154"/>
      <c r="S127" s="154"/>
      <c r="T127" s="154"/>
      <c r="U127" s="154"/>
      <c r="V127" s="154"/>
      <c r="W127" s="154"/>
      <c r="X127" s="154"/>
      <c r="Y127" s="154"/>
      <c r="AB127" s="117"/>
      <c r="AC127" s="110">
        <f t="shared" si="3"/>
        <v>17015</v>
      </c>
      <c r="AD127" s="108">
        <f t="shared" si="3"/>
        <v>0</v>
      </c>
      <c r="AE127" s="108">
        <f t="shared" si="3"/>
        <v>404</v>
      </c>
      <c r="AF127" s="108">
        <f t="shared" si="3"/>
        <v>235</v>
      </c>
      <c r="AG127" s="108">
        <f t="shared" si="3"/>
        <v>0</v>
      </c>
      <c r="AH127" s="108">
        <f t="shared" si="3"/>
        <v>0</v>
      </c>
      <c r="AI127" s="108">
        <f t="shared" si="3"/>
        <v>17654</v>
      </c>
      <c r="AJ127" s="110">
        <f t="shared" si="3"/>
        <v>0</v>
      </c>
      <c r="AK127" s="108">
        <f t="shared" si="3"/>
        <v>17452.97853897035</v>
      </c>
    </row>
    <row r="128" spans="1:37" ht="14.4">
      <c r="A128" s="154"/>
      <c r="B128" s="159"/>
      <c r="C128" s="174"/>
      <c r="D128" s="154"/>
      <c r="E128" s="155"/>
      <c r="F128" s="154"/>
      <c r="G128" s="155"/>
      <c r="H128" s="155"/>
      <c r="I128" s="154"/>
      <c r="J128" s="154"/>
      <c r="K128" s="154"/>
      <c r="L128" s="154"/>
      <c r="M128" s="154"/>
      <c r="N128" s="162"/>
      <c r="O128" s="162">
        <v>0</v>
      </c>
      <c r="P128" s="162"/>
      <c r="Q128" s="162">
        <v>0</v>
      </c>
      <c r="R128" s="154"/>
      <c r="S128" s="154"/>
      <c r="T128" s="154"/>
      <c r="U128" s="154"/>
      <c r="V128" s="154"/>
      <c r="W128" s="154"/>
      <c r="X128" s="154"/>
      <c r="Y128" s="154"/>
      <c r="AB128" s="117"/>
      <c r="AC128" s="110">
        <f t="shared" si="3"/>
        <v>0</v>
      </c>
      <c r="AD128" s="108">
        <f t="shared" si="3"/>
        <v>0</v>
      </c>
      <c r="AE128" s="108">
        <f t="shared" si="3"/>
        <v>0</v>
      </c>
      <c r="AF128" s="108">
        <f t="shared" si="3"/>
        <v>0</v>
      </c>
      <c r="AG128" s="108">
        <f t="shared" si="3"/>
        <v>0</v>
      </c>
      <c r="AH128" s="108">
        <f t="shared" si="3"/>
        <v>0</v>
      </c>
      <c r="AI128" s="108">
        <f t="shared" si="3"/>
        <v>0</v>
      </c>
      <c r="AJ128" s="110">
        <f t="shared" si="3"/>
        <v>0</v>
      </c>
      <c r="AK128" s="108">
        <f t="shared" si="3"/>
        <v>-356.607775</v>
      </c>
    </row>
    <row r="129" spans="1:37" ht="14.4">
      <c r="A129" s="154" t="s">
        <v>184</v>
      </c>
      <c r="B129" s="122"/>
      <c r="C129" s="174">
        <v>-3569</v>
      </c>
      <c r="D129" s="154"/>
      <c r="E129" s="155">
        <v>17</v>
      </c>
      <c r="F129" s="154"/>
      <c r="G129" s="155"/>
      <c r="H129" s="155"/>
      <c r="I129" s="162">
        <v>-3552</v>
      </c>
      <c r="J129" s="154"/>
      <c r="K129" s="162">
        <v>-3552</v>
      </c>
      <c r="L129" s="154"/>
      <c r="M129" s="162"/>
      <c r="N129" s="162"/>
      <c r="O129" s="162">
        <v>17</v>
      </c>
      <c r="P129" s="162"/>
      <c r="Q129" s="162">
        <v>0</v>
      </c>
      <c r="R129" s="154"/>
      <c r="S129" s="154"/>
      <c r="T129" s="154"/>
      <c r="AA129" s="103" t="s">
        <v>184</v>
      </c>
      <c r="AB129" s="122"/>
      <c r="AC129" s="110">
        <f t="shared" si="3"/>
        <v>-3569</v>
      </c>
      <c r="AD129" s="108">
        <f t="shared" si="3"/>
        <v>0</v>
      </c>
      <c r="AE129" s="108">
        <f t="shared" si="3"/>
        <v>17</v>
      </c>
      <c r="AF129" s="108">
        <f t="shared" si="3"/>
        <v>0</v>
      </c>
      <c r="AG129" s="108">
        <f t="shared" si="3"/>
        <v>0</v>
      </c>
      <c r="AH129" s="108">
        <f t="shared" si="3"/>
        <v>0</v>
      </c>
      <c r="AI129" s="108">
        <f t="shared" si="3"/>
        <v>-3552</v>
      </c>
      <c r="AJ129" s="110">
        <f t="shared" si="3"/>
        <v>0</v>
      </c>
      <c r="AK129" s="108">
        <f t="shared" si="3"/>
        <v>-3333.6666666666665</v>
      </c>
    </row>
    <row r="130" spans="1:37" ht="14.4">
      <c r="A130" s="154" t="s">
        <v>185</v>
      </c>
      <c r="B130" s="159"/>
      <c r="C130" s="176">
        <v>1395</v>
      </c>
      <c r="D130" s="164"/>
      <c r="E130" s="176">
        <v>0</v>
      </c>
      <c r="F130" s="156"/>
      <c r="G130" s="156"/>
      <c r="H130" s="156"/>
      <c r="I130" s="163">
        <v>1395</v>
      </c>
      <c r="J130" s="164"/>
      <c r="K130" s="163">
        <v>1395</v>
      </c>
      <c r="L130" s="154"/>
      <c r="M130" s="162"/>
      <c r="N130" s="162"/>
      <c r="O130" s="163">
        <v>0</v>
      </c>
      <c r="P130" s="162"/>
      <c r="Q130" s="163">
        <v>0</v>
      </c>
      <c r="R130" s="154"/>
      <c r="S130" s="154"/>
      <c r="T130" s="154"/>
      <c r="AA130" s="103" t="s">
        <v>185</v>
      </c>
      <c r="AB130" s="117"/>
      <c r="AC130" s="112">
        <f t="shared" si="3"/>
        <v>1395</v>
      </c>
      <c r="AD130" s="113">
        <f t="shared" si="3"/>
        <v>0</v>
      </c>
      <c r="AE130" s="112">
        <f t="shared" si="3"/>
        <v>0</v>
      </c>
      <c r="AF130" s="113">
        <f t="shared" si="3"/>
        <v>0</v>
      </c>
      <c r="AG130" s="113">
        <f t="shared" si="3"/>
        <v>0</v>
      </c>
      <c r="AH130" s="113">
        <f t="shared" si="3"/>
        <v>0</v>
      </c>
      <c r="AI130" s="113">
        <f t="shared" si="3"/>
        <v>1395</v>
      </c>
      <c r="AJ130" s="113">
        <f t="shared" si="3"/>
        <v>0</v>
      </c>
      <c r="AK130" s="121">
        <f t="shared" si="3"/>
        <v>1355</v>
      </c>
    </row>
    <row r="131" spans="1:37" ht="14.4">
      <c r="A131" s="154"/>
      <c r="B131" s="159"/>
      <c r="C131" s="174"/>
      <c r="D131" s="154"/>
      <c r="E131" s="155"/>
      <c r="F131" s="154"/>
      <c r="G131" s="155"/>
      <c r="H131" s="155"/>
      <c r="I131" s="154"/>
      <c r="J131" s="154"/>
      <c r="K131" s="154"/>
      <c r="L131" s="154"/>
      <c r="M131" s="154"/>
      <c r="N131" s="154"/>
      <c r="O131" s="154"/>
      <c r="P131" s="154"/>
      <c r="Q131" s="154"/>
      <c r="R131" s="154"/>
      <c r="S131" s="154"/>
      <c r="T131" s="154"/>
      <c r="AB131" s="117"/>
      <c r="AC131" s="110">
        <f t="shared" si="3"/>
        <v>0</v>
      </c>
      <c r="AD131" s="108">
        <f t="shared" si="3"/>
        <v>0</v>
      </c>
      <c r="AE131" s="108">
        <f t="shared" si="3"/>
        <v>0</v>
      </c>
      <c r="AF131" s="108">
        <f t="shared" si="3"/>
        <v>0</v>
      </c>
      <c r="AG131" s="108">
        <f t="shared" si="3"/>
        <v>0</v>
      </c>
      <c r="AH131" s="108">
        <f t="shared" si="3"/>
        <v>0</v>
      </c>
      <c r="AI131" s="108">
        <f t="shared" si="3"/>
        <v>0</v>
      </c>
      <c r="AJ131" s="108">
        <f t="shared" si="3"/>
        <v>0</v>
      </c>
      <c r="AK131" s="108">
        <f t="shared" si="3"/>
        <v>-250</v>
      </c>
    </row>
    <row r="132" spans="1:37" ht="14.4">
      <c r="A132" s="154" t="s">
        <v>186</v>
      </c>
      <c r="B132" s="159"/>
      <c r="C132" s="155">
        <v>-1245</v>
      </c>
      <c r="D132" s="155">
        <v>0</v>
      </c>
      <c r="E132" s="155">
        <v>-1907</v>
      </c>
      <c r="F132" s="155">
        <v>-5403</v>
      </c>
      <c r="G132" s="155">
        <v>0</v>
      </c>
      <c r="H132" s="155">
        <v>0</v>
      </c>
      <c r="I132" s="155">
        <v>-8555</v>
      </c>
      <c r="J132" s="155">
        <v>-5024</v>
      </c>
      <c r="K132" s="155">
        <v>-3531</v>
      </c>
      <c r="L132" s="154"/>
      <c r="M132" s="155"/>
      <c r="N132" s="155"/>
      <c r="O132" s="155">
        <v>-2312</v>
      </c>
      <c r="P132" s="155"/>
      <c r="Q132" s="155">
        <v>-5403</v>
      </c>
      <c r="R132" s="154"/>
      <c r="S132" s="154"/>
      <c r="T132" s="154"/>
      <c r="AA132" s="103" t="s">
        <v>186</v>
      </c>
      <c r="AB132" s="117"/>
      <c r="AC132" s="108">
        <f t="shared" si="3"/>
        <v>-1245</v>
      </c>
      <c r="AD132" s="108">
        <f t="shared" si="3"/>
        <v>0</v>
      </c>
      <c r="AE132" s="108">
        <f t="shared" si="3"/>
        <v>-1907</v>
      </c>
      <c r="AF132" s="108">
        <f t="shared" si="3"/>
        <v>-5403</v>
      </c>
      <c r="AG132" s="108">
        <f t="shared" si="3"/>
        <v>0</v>
      </c>
      <c r="AH132" s="108">
        <f t="shared" si="3"/>
        <v>0</v>
      </c>
      <c r="AI132" s="108">
        <f t="shared" si="3"/>
        <v>-8555</v>
      </c>
      <c r="AJ132" s="108">
        <f t="shared" si="3"/>
        <v>-5024</v>
      </c>
      <c r="AK132" s="108">
        <f t="shared" si="3"/>
        <v>-3522.6666666666665</v>
      </c>
    </row>
    <row r="133" spans="1:37" ht="14.4">
      <c r="A133" s="154"/>
      <c r="B133" s="159"/>
      <c r="C133" s="155"/>
      <c r="D133" s="154"/>
      <c r="E133" s="155"/>
      <c r="F133" s="154"/>
      <c r="G133" s="155"/>
      <c r="H133" s="155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AB133" s="117"/>
      <c r="AC133" s="108">
        <f t="shared" si="3"/>
        <v>0</v>
      </c>
      <c r="AD133" s="108">
        <f t="shared" si="3"/>
        <v>0</v>
      </c>
      <c r="AE133" s="108">
        <f t="shared" si="3"/>
        <v>0</v>
      </c>
      <c r="AF133" s="108">
        <f t="shared" si="3"/>
        <v>0</v>
      </c>
      <c r="AG133" s="108">
        <f t="shared" si="3"/>
        <v>0</v>
      </c>
      <c r="AH133" s="108">
        <f t="shared" si="3"/>
        <v>0</v>
      </c>
      <c r="AI133" s="108">
        <f t="shared" si="3"/>
        <v>0</v>
      </c>
      <c r="AJ133" s="108">
        <f t="shared" si="3"/>
        <v>0</v>
      </c>
      <c r="AK133" s="108">
        <f t="shared" si="3"/>
        <v>0</v>
      </c>
    </row>
    <row r="134" spans="1:37" ht="14.4">
      <c r="A134" s="154" t="s">
        <v>187</v>
      </c>
      <c r="B134" s="159"/>
      <c r="C134" s="185">
        <v>175</v>
      </c>
      <c r="D134" s="154"/>
      <c r="E134" s="155">
        <v>0</v>
      </c>
      <c r="F134" s="154"/>
      <c r="G134" s="155"/>
      <c r="H134" s="155"/>
      <c r="I134" s="162">
        <v>175</v>
      </c>
      <c r="J134" s="154"/>
      <c r="K134" s="162">
        <v>175</v>
      </c>
      <c r="L134" s="154"/>
      <c r="M134" s="162"/>
      <c r="N134" s="162"/>
      <c r="O134" s="162"/>
      <c r="P134" s="162"/>
      <c r="Q134" s="162">
        <v>0</v>
      </c>
      <c r="R134" s="154"/>
      <c r="S134" s="154"/>
      <c r="T134" s="162"/>
      <c r="AA134" s="103" t="s">
        <v>187</v>
      </c>
      <c r="AB134" s="117"/>
      <c r="AC134" s="120">
        <f t="shared" si="3"/>
        <v>175</v>
      </c>
      <c r="AD134" s="108">
        <f t="shared" si="3"/>
        <v>0</v>
      </c>
      <c r="AE134" s="108">
        <f t="shared" si="3"/>
        <v>0</v>
      </c>
      <c r="AF134" s="108">
        <f t="shared" si="3"/>
        <v>0</v>
      </c>
      <c r="AG134" s="108">
        <f t="shared" si="3"/>
        <v>0</v>
      </c>
      <c r="AH134" s="108">
        <f t="shared" si="3"/>
        <v>0</v>
      </c>
      <c r="AI134" s="108">
        <f t="shared" si="3"/>
        <v>175</v>
      </c>
      <c r="AJ134" s="108">
        <f t="shared" si="3"/>
        <v>0</v>
      </c>
      <c r="AK134" s="108">
        <f t="shared" si="3"/>
        <v>1842.3769621482606</v>
      </c>
    </row>
    <row r="135" spans="1:37" ht="14.4">
      <c r="A135" s="154"/>
      <c r="B135" s="159"/>
      <c r="C135" s="156"/>
      <c r="D135" s="164"/>
      <c r="E135" s="156"/>
      <c r="F135" s="164"/>
      <c r="G135" s="156"/>
      <c r="H135" s="156"/>
      <c r="I135" s="164"/>
      <c r="J135" s="164"/>
      <c r="K135" s="164"/>
      <c r="L135" s="154"/>
      <c r="M135" s="154"/>
      <c r="N135" s="154"/>
      <c r="O135" s="164"/>
      <c r="P135" s="154"/>
      <c r="Q135" s="164"/>
      <c r="R135" s="154"/>
      <c r="S135" s="154"/>
      <c r="T135" s="154"/>
      <c r="AB135" s="117"/>
      <c r="AC135" s="113">
        <f t="shared" si="3"/>
        <v>0</v>
      </c>
      <c r="AD135" s="113">
        <f t="shared" si="3"/>
        <v>0</v>
      </c>
      <c r="AE135" s="113">
        <f t="shared" si="3"/>
        <v>0</v>
      </c>
      <c r="AF135" s="113">
        <f t="shared" si="3"/>
        <v>0</v>
      </c>
      <c r="AG135" s="113">
        <f t="shared" si="3"/>
        <v>0</v>
      </c>
      <c r="AH135" s="113">
        <f t="shared" si="3"/>
        <v>0</v>
      </c>
      <c r="AI135" s="113">
        <f t="shared" si="3"/>
        <v>0</v>
      </c>
      <c r="AJ135" s="113">
        <f t="shared" si="3"/>
        <v>0</v>
      </c>
      <c r="AK135" s="113">
        <f t="shared" si="3"/>
        <v>-140.84719683872652</v>
      </c>
    </row>
    <row r="136" spans="1:37" ht="14.4">
      <c r="A136" s="154" t="s">
        <v>188</v>
      </c>
      <c r="B136" s="159"/>
      <c r="C136" s="155">
        <v>-1070</v>
      </c>
      <c r="D136" s="155">
        <v>0</v>
      </c>
      <c r="E136" s="155">
        <v>-1907</v>
      </c>
      <c r="F136" s="155">
        <v>-5403</v>
      </c>
      <c r="G136" s="155">
        <v>0</v>
      </c>
      <c r="H136" s="155">
        <v>0</v>
      </c>
      <c r="I136" s="155">
        <v>-8380</v>
      </c>
      <c r="J136" s="155">
        <v>-5024</v>
      </c>
      <c r="K136" s="155">
        <v>-3356</v>
      </c>
      <c r="L136" s="154"/>
      <c r="M136" s="155"/>
      <c r="N136" s="155"/>
      <c r="O136" s="155">
        <v>-2312</v>
      </c>
      <c r="P136" s="155"/>
      <c r="Q136" s="155">
        <v>-5403</v>
      </c>
      <c r="R136" s="154"/>
      <c r="S136" s="154"/>
      <c r="T136" s="154"/>
      <c r="AA136" s="103" t="s">
        <v>188</v>
      </c>
      <c r="AB136" s="117"/>
      <c r="AC136" s="108">
        <f t="shared" si="3"/>
        <v>-1070</v>
      </c>
      <c r="AD136" s="108">
        <f t="shared" si="3"/>
        <v>0</v>
      </c>
      <c r="AE136" s="108">
        <f t="shared" si="3"/>
        <v>-1907</v>
      </c>
      <c r="AF136" s="108">
        <f t="shared" si="3"/>
        <v>-5403</v>
      </c>
      <c r="AG136" s="108">
        <f t="shared" si="3"/>
        <v>0</v>
      </c>
      <c r="AH136" s="108">
        <f t="shared" si="3"/>
        <v>0</v>
      </c>
      <c r="AI136" s="108">
        <f t="shared" si="3"/>
        <v>-8380</v>
      </c>
      <c r="AJ136" s="108">
        <f t="shared" si="3"/>
        <v>-5024</v>
      </c>
      <c r="AK136" s="108">
        <f t="shared" si="3"/>
        <v>-2689.2710906615084</v>
      </c>
    </row>
    <row r="137" spans="1:37" ht="14.4">
      <c r="A137" s="154"/>
      <c r="B137" s="159"/>
      <c r="C137" s="155"/>
      <c r="D137" s="154"/>
      <c r="E137" s="155"/>
      <c r="F137" s="154"/>
      <c r="G137" s="155"/>
      <c r="H137" s="155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  <c r="T137" s="154"/>
      <c r="AB137" s="117"/>
      <c r="AC137" s="108">
        <f t="shared" si="3"/>
        <v>0</v>
      </c>
      <c r="AD137" s="108">
        <f t="shared" si="3"/>
        <v>0</v>
      </c>
      <c r="AE137" s="108">
        <f t="shared" si="3"/>
        <v>0</v>
      </c>
      <c r="AF137" s="108">
        <f t="shared" si="3"/>
        <v>0</v>
      </c>
      <c r="AG137" s="108">
        <f t="shared" si="3"/>
        <v>0</v>
      </c>
      <c r="AH137" s="108">
        <f t="shared" si="3"/>
        <v>0</v>
      </c>
      <c r="AI137" s="108">
        <f t="shared" si="3"/>
        <v>0</v>
      </c>
      <c r="AJ137" s="108">
        <f t="shared" si="3"/>
        <v>0</v>
      </c>
      <c r="AK137" s="108">
        <f t="shared" si="3"/>
        <v>1141.4952496484957</v>
      </c>
    </row>
    <row r="138" spans="1:37" ht="14.4">
      <c r="A138" s="154" t="s">
        <v>189</v>
      </c>
      <c r="B138" s="159"/>
      <c r="C138" s="185">
        <v>442</v>
      </c>
      <c r="D138" s="154"/>
      <c r="E138" s="155"/>
      <c r="F138" s="154"/>
      <c r="G138" s="155"/>
      <c r="H138" s="155"/>
      <c r="I138" s="162">
        <v>442</v>
      </c>
      <c r="J138" s="154"/>
      <c r="K138" s="162">
        <v>442</v>
      </c>
      <c r="L138" s="154"/>
      <c r="M138" s="162"/>
      <c r="N138" s="162"/>
      <c r="O138" s="162">
        <v>0</v>
      </c>
      <c r="P138" s="162"/>
      <c r="Q138" s="162">
        <v>0</v>
      </c>
      <c r="R138" s="154"/>
      <c r="S138" s="154"/>
      <c r="T138" s="185">
        <v>502</v>
      </c>
      <c r="AA138" s="103" t="s">
        <v>189</v>
      </c>
      <c r="AB138" s="117"/>
      <c r="AC138" s="120">
        <f t="shared" si="3"/>
        <v>442</v>
      </c>
      <c r="AD138" s="108">
        <f t="shared" si="3"/>
        <v>0</v>
      </c>
      <c r="AE138" s="108">
        <f t="shared" si="3"/>
        <v>0</v>
      </c>
      <c r="AF138" s="108">
        <f t="shared" si="3"/>
        <v>0</v>
      </c>
      <c r="AG138" s="108">
        <f t="shared" si="3"/>
        <v>0</v>
      </c>
      <c r="AH138" s="108">
        <f t="shared" si="3"/>
        <v>0</v>
      </c>
      <c r="AI138" s="108">
        <f t="shared" si="3"/>
        <v>442</v>
      </c>
      <c r="AJ138" s="108">
        <f t="shared" si="3"/>
        <v>0</v>
      </c>
      <c r="AK138" s="108">
        <f t="shared" si="3"/>
        <v>1238.9731712558578</v>
      </c>
    </row>
    <row r="139" spans="1:37" ht="14.4">
      <c r="A139" s="154" t="s">
        <v>190</v>
      </c>
      <c r="B139" s="159"/>
      <c r="C139" s="185">
        <v>1607</v>
      </c>
      <c r="D139" s="154"/>
      <c r="E139" s="155"/>
      <c r="F139" s="154"/>
      <c r="G139" s="155"/>
      <c r="H139" s="155"/>
      <c r="I139" s="162">
        <v>1607</v>
      </c>
      <c r="J139" s="154"/>
      <c r="K139" s="162">
        <v>1607</v>
      </c>
      <c r="L139" s="154"/>
      <c r="M139" s="162"/>
      <c r="N139" s="162"/>
      <c r="O139" s="162">
        <v>0</v>
      </c>
      <c r="P139" s="162"/>
      <c r="Q139" s="162">
        <v>0</v>
      </c>
      <c r="R139" s="154"/>
      <c r="S139" s="154"/>
      <c r="T139" s="185">
        <v>1769</v>
      </c>
      <c r="AA139" s="103" t="s">
        <v>190</v>
      </c>
      <c r="AB139" s="117"/>
      <c r="AC139" s="120">
        <f t="shared" si="3"/>
        <v>1607</v>
      </c>
      <c r="AD139" s="108">
        <f t="shared" si="3"/>
        <v>0</v>
      </c>
      <c r="AE139" s="108">
        <f t="shared" si="3"/>
        <v>0</v>
      </c>
      <c r="AF139" s="108">
        <f t="shared" si="3"/>
        <v>0</v>
      </c>
      <c r="AG139" s="108">
        <f t="shared" si="3"/>
        <v>0</v>
      </c>
      <c r="AH139" s="108">
        <f t="shared" si="3"/>
        <v>0</v>
      </c>
      <c r="AI139" s="108">
        <f t="shared" si="3"/>
        <v>1607</v>
      </c>
      <c r="AJ139" s="108">
        <f t="shared" si="3"/>
        <v>0</v>
      </c>
      <c r="AK139" s="108">
        <f t="shared" si="3"/>
        <v>3955.0360527856596</v>
      </c>
    </row>
    <row r="140" spans="1:37" ht="14.4">
      <c r="A140" s="161" t="s">
        <v>191</v>
      </c>
      <c r="B140" s="159"/>
      <c r="C140" s="114">
        <v>-615</v>
      </c>
      <c r="D140" s="154"/>
      <c r="E140" s="155"/>
      <c r="F140" s="154"/>
      <c r="G140" s="155"/>
      <c r="H140" s="155"/>
      <c r="I140" s="162">
        <v>-615</v>
      </c>
      <c r="J140" s="162">
        <v>0</v>
      </c>
      <c r="K140" s="162">
        <v>-615</v>
      </c>
      <c r="L140" s="154"/>
      <c r="M140" s="162"/>
      <c r="N140" s="162"/>
      <c r="O140" s="162">
        <v>0</v>
      </c>
      <c r="P140" s="162"/>
      <c r="Q140" s="162">
        <v>0</v>
      </c>
      <c r="R140" s="154"/>
      <c r="S140" s="154"/>
      <c r="T140" s="154"/>
      <c r="AA140" s="111" t="s">
        <v>191</v>
      </c>
      <c r="AB140" s="117"/>
      <c r="AC140" s="114">
        <f t="shared" ref="AC140:AK145" si="4">C140-C193</f>
        <v>-615</v>
      </c>
      <c r="AD140" s="108">
        <f t="shared" si="4"/>
        <v>0</v>
      </c>
      <c r="AE140" s="108">
        <f t="shared" si="4"/>
        <v>0</v>
      </c>
      <c r="AF140" s="108">
        <f t="shared" si="4"/>
        <v>0</v>
      </c>
      <c r="AG140" s="108">
        <f t="shared" si="4"/>
        <v>0</v>
      </c>
      <c r="AH140" s="108">
        <f t="shared" si="4"/>
        <v>0</v>
      </c>
      <c r="AI140" s="108">
        <f t="shared" si="4"/>
        <v>-615</v>
      </c>
      <c r="AJ140" s="108">
        <f t="shared" si="4"/>
        <v>0</v>
      </c>
      <c r="AK140" s="108">
        <f t="shared" si="4"/>
        <v>-1307.3999532733528</v>
      </c>
    </row>
    <row r="141" spans="1:37" ht="14.4">
      <c r="A141" s="154" t="s">
        <v>192</v>
      </c>
      <c r="B141" s="159"/>
      <c r="C141" s="185">
        <v>640</v>
      </c>
      <c r="D141" s="154"/>
      <c r="E141" s="155">
        <v>-12</v>
      </c>
      <c r="F141" s="154"/>
      <c r="G141" s="155"/>
      <c r="H141" s="155"/>
      <c r="I141" s="162">
        <v>628</v>
      </c>
      <c r="J141" s="154"/>
      <c r="K141" s="162">
        <v>628</v>
      </c>
      <c r="L141" s="154"/>
      <c r="M141" s="162"/>
      <c r="N141" s="162"/>
      <c r="O141" s="162">
        <v>-12</v>
      </c>
      <c r="P141" s="162"/>
      <c r="Q141" s="162">
        <v>0</v>
      </c>
      <c r="R141" s="154"/>
      <c r="S141" s="154"/>
      <c r="T141" s="154"/>
      <c r="AA141" s="103" t="s">
        <v>192</v>
      </c>
      <c r="AB141" s="117"/>
      <c r="AC141" s="120">
        <f t="shared" si="4"/>
        <v>640</v>
      </c>
      <c r="AD141" s="108">
        <f t="shared" si="4"/>
        <v>0</v>
      </c>
      <c r="AE141" s="108">
        <f t="shared" si="4"/>
        <v>-12</v>
      </c>
      <c r="AF141" s="108">
        <f t="shared" si="4"/>
        <v>0</v>
      </c>
      <c r="AG141" s="108">
        <f t="shared" si="4"/>
        <v>0</v>
      </c>
      <c r="AH141" s="108">
        <f t="shared" si="4"/>
        <v>0</v>
      </c>
      <c r="AI141" s="108">
        <f t="shared" si="4"/>
        <v>628</v>
      </c>
      <c r="AJ141" s="108">
        <f t="shared" si="4"/>
        <v>0</v>
      </c>
      <c r="AK141" s="108">
        <f t="shared" si="4"/>
        <v>-447.39833966820834</v>
      </c>
    </row>
    <row r="142" spans="1:37" ht="14.4">
      <c r="A142" s="154" t="s">
        <v>193</v>
      </c>
      <c r="B142" s="159"/>
      <c r="C142" s="155"/>
      <c r="D142" s="154"/>
      <c r="E142" s="155"/>
      <c r="F142" s="154"/>
      <c r="G142" s="155"/>
      <c r="H142" s="155"/>
      <c r="I142" s="162">
        <v>0</v>
      </c>
      <c r="J142" s="155">
        <v>-15</v>
      </c>
      <c r="K142" s="162">
        <v>-15</v>
      </c>
      <c r="L142" s="154"/>
      <c r="M142" s="162"/>
      <c r="N142" s="162"/>
      <c r="O142" s="162">
        <v>0</v>
      </c>
      <c r="P142" s="162"/>
      <c r="Q142" s="162">
        <v>0</v>
      </c>
      <c r="R142" s="154"/>
      <c r="S142" s="154"/>
      <c r="T142" s="154"/>
      <c r="AA142" s="103" t="s">
        <v>193</v>
      </c>
      <c r="AB142" s="117"/>
      <c r="AC142" s="108">
        <f t="shared" si="4"/>
        <v>0</v>
      </c>
      <c r="AD142" s="108">
        <f t="shared" si="4"/>
        <v>0</v>
      </c>
      <c r="AE142" s="108">
        <f t="shared" si="4"/>
        <v>0</v>
      </c>
      <c r="AF142" s="108">
        <f t="shared" si="4"/>
        <v>0</v>
      </c>
      <c r="AG142" s="108">
        <f t="shared" si="4"/>
        <v>0</v>
      </c>
      <c r="AH142" s="108">
        <f t="shared" si="4"/>
        <v>0</v>
      </c>
      <c r="AI142" s="108">
        <f t="shared" si="4"/>
        <v>0</v>
      </c>
      <c r="AJ142" s="108">
        <f t="shared" si="4"/>
        <v>-15</v>
      </c>
      <c r="AK142" s="108">
        <f t="shared" si="4"/>
        <v>-15.063567849046093</v>
      </c>
    </row>
    <row r="143" spans="1:37" ht="14.4">
      <c r="A143" s="154"/>
      <c r="B143" s="159"/>
      <c r="C143" s="155"/>
      <c r="D143" s="154"/>
      <c r="E143" s="155"/>
      <c r="F143" s="154"/>
      <c r="G143" s="155"/>
      <c r="H143" s="155"/>
      <c r="I143" s="154"/>
      <c r="J143" s="154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  <c r="AB143" s="117"/>
      <c r="AC143" s="108">
        <f t="shared" si="4"/>
        <v>0</v>
      </c>
      <c r="AD143" s="108">
        <f t="shared" si="4"/>
        <v>0</v>
      </c>
      <c r="AE143" s="108">
        <f t="shared" si="4"/>
        <v>0</v>
      </c>
      <c r="AF143" s="108">
        <f t="shared" si="4"/>
        <v>0</v>
      </c>
      <c r="AG143" s="108">
        <f t="shared" si="4"/>
        <v>0</v>
      </c>
      <c r="AH143" s="108">
        <f t="shared" si="4"/>
        <v>0</v>
      </c>
      <c r="AI143" s="108">
        <f t="shared" si="4"/>
        <v>0</v>
      </c>
      <c r="AJ143" s="108">
        <f t="shared" si="4"/>
        <v>0</v>
      </c>
      <c r="AK143" s="108">
        <f t="shared" si="4"/>
        <v>0</v>
      </c>
    </row>
    <row r="144" spans="1:37" ht="15" thickBot="1">
      <c r="A144" s="154" t="s">
        <v>194</v>
      </c>
      <c r="B144" s="159"/>
      <c r="C144" s="177">
        <v>-3144</v>
      </c>
      <c r="D144" s="177">
        <v>0</v>
      </c>
      <c r="E144" s="177">
        <v>-1895</v>
      </c>
      <c r="F144" s="157">
        <v>-5403</v>
      </c>
      <c r="G144" s="157">
        <v>0</v>
      </c>
      <c r="H144" s="157">
        <v>0</v>
      </c>
      <c r="I144" s="157">
        <v>-10442</v>
      </c>
      <c r="J144" s="157">
        <v>-5009</v>
      </c>
      <c r="K144" s="157">
        <v>-5403</v>
      </c>
      <c r="L144" s="154"/>
      <c r="M144" s="158"/>
      <c r="N144" s="158"/>
      <c r="O144" s="157">
        <v>-2300</v>
      </c>
      <c r="P144" s="158"/>
      <c r="Q144" s="157">
        <v>-5403</v>
      </c>
      <c r="R144" s="154"/>
      <c r="S144" s="154"/>
      <c r="T144" s="154"/>
      <c r="AA144" s="103" t="s">
        <v>194</v>
      </c>
      <c r="AB144" s="117"/>
      <c r="AC144" s="123">
        <f t="shared" si="4"/>
        <v>-3144</v>
      </c>
      <c r="AD144" s="123">
        <f t="shared" si="4"/>
        <v>0</v>
      </c>
      <c r="AE144" s="123">
        <f t="shared" si="4"/>
        <v>-1895</v>
      </c>
      <c r="AF144" s="115">
        <f t="shared" si="4"/>
        <v>-5403</v>
      </c>
      <c r="AG144" s="115">
        <f t="shared" si="4"/>
        <v>0</v>
      </c>
      <c r="AH144" s="115">
        <f t="shared" si="4"/>
        <v>0</v>
      </c>
      <c r="AI144" s="115">
        <f t="shared" si="4"/>
        <v>-10442</v>
      </c>
      <c r="AJ144" s="115">
        <f t="shared" si="4"/>
        <v>-5009</v>
      </c>
      <c r="AK144" s="115">
        <f t="shared" si="4"/>
        <v>-5403</v>
      </c>
    </row>
    <row r="145" spans="1:37" ht="15" thickTop="1">
      <c r="A145" s="154"/>
      <c r="B145" s="160"/>
      <c r="C145" s="162"/>
      <c r="D145" s="154"/>
      <c r="E145" s="155"/>
      <c r="F145" s="154"/>
      <c r="G145" s="154"/>
      <c r="H145" s="154"/>
      <c r="I145" s="154"/>
      <c r="J145" s="154"/>
      <c r="K145" s="162">
        <v>0</v>
      </c>
      <c r="L145" s="154"/>
      <c r="M145" s="154"/>
      <c r="N145" s="154"/>
      <c r="O145" s="154"/>
      <c r="P145" s="154"/>
      <c r="Q145" s="154"/>
      <c r="R145" s="154"/>
      <c r="S145" s="154"/>
      <c r="T145" s="154"/>
      <c r="U145" s="154"/>
      <c r="V145" s="154"/>
      <c r="AB145" s="124"/>
      <c r="AC145" s="108">
        <f t="shared" si="4"/>
        <v>0</v>
      </c>
      <c r="AD145" s="108">
        <f t="shared" si="4"/>
        <v>0</v>
      </c>
      <c r="AE145" s="108">
        <f t="shared" si="4"/>
        <v>0</v>
      </c>
      <c r="AF145" s="108">
        <f t="shared" si="4"/>
        <v>0</v>
      </c>
      <c r="AG145" s="108">
        <f t="shared" si="4"/>
        <v>0</v>
      </c>
      <c r="AH145" s="108">
        <f t="shared" si="4"/>
        <v>0</v>
      </c>
      <c r="AI145" s="108">
        <f t="shared" si="4"/>
        <v>0</v>
      </c>
      <c r="AJ145" s="108">
        <f t="shared" si="4"/>
        <v>0</v>
      </c>
      <c r="AK145" s="108">
        <f t="shared" si="4"/>
        <v>-927.06666666666672</v>
      </c>
    </row>
    <row r="146" spans="1:37">
      <c r="A146" s="154"/>
      <c r="B146" s="154"/>
      <c r="C146" s="154"/>
      <c r="D146" s="154"/>
      <c r="E146" s="162"/>
      <c r="F146" s="154"/>
      <c r="G146" s="162"/>
      <c r="H146" s="155"/>
      <c r="I146" s="154"/>
      <c r="J146" s="162"/>
      <c r="K146" s="162"/>
      <c r="L146" s="162"/>
      <c r="M146" s="162"/>
      <c r="N146" s="154"/>
      <c r="O146" s="154"/>
      <c r="P146" s="154"/>
      <c r="Q146" s="154"/>
      <c r="R146" s="154"/>
      <c r="S146" s="154"/>
      <c r="T146" s="154"/>
      <c r="U146" s="162"/>
      <c r="V146" s="154"/>
    </row>
    <row r="147" spans="1:37">
      <c r="A147" s="154"/>
      <c r="B147" s="154"/>
      <c r="C147" s="162"/>
      <c r="D147" s="154"/>
      <c r="E147" s="162"/>
      <c r="F147" s="162"/>
      <c r="G147" s="154"/>
      <c r="H147" s="155"/>
      <c r="I147" s="154"/>
      <c r="J147" s="154"/>
      <c r="K147" s="154"/>
      <c r="L147" s="154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/>
    </row>
    <row r="148" spans="1:37">
      <c r="A148" s="154"/>
      <c r="B148" s="154"/>
      <c r="C148" s="162"/>
      <c r="D148" s="154"/>
      <c r="E148" s="154"/>
      <c r="F148" s="162"/>
      <c r="G148" s="162"/>
      <c r="H148" s="155"/>
      <c r="I148" s="154"/>
      <c r="J148" s="154"/>
      <c r="K148" s="162"/>
      <c r="L148" s="154"/>
      <c r="M148" s="154"/>
      <c r="N148" s="154"/>
      <c r="O148" s="154"/>
      <c r="P148" s="154"/>
      <c r="Q148" s="162"/>
      <c r="R148" s="154"/>
      <c r="S148" s="154"/>
      <c r="T148" s="161" t="s">
        <v>197</v>
      </c>
      <c r="U148" s="154"/>
      <c r="V148" s="154"/>
    </row>
    <row r="149" spans="1:37">
      <c r="A149" s="161"/>
      <c r="B149" s="154"/>
      <c r="C149" s="154"/>
      <c r="D149" s="154"/>
      <c r="E149" s="154"/>
      <c r="F149" s="154"/>
      <c r="G149" s="154"/>
      <c r="H149" s="155"/>
      <c r="I149" s="154"/>
      <c r="J149" s="154"/>
      <c r="K149" s="162"/>
      <c r="L149" s="154"/>
      <c r="M149" s="154"/>
      <c r="N149" s="154"/>
      <c r="O149" s="154"/>
      <c r="P149" s="154"/>
      <c r="Q149" s="162"/>
      <c r="R149" s="154"/>
      <c r="S149" s="154"/>
      <c r="T149" s="161" t="s">
        <v>199</v>
      </c>
      <c r="U149" s="161" t="s">
        <v>73</v>
      </c>
      <c r="V149" s="161" t="s">
        <v>85</v>
      </c>
    </row>
    <row r="150" spans="1:37">
      <c r="A150" s="161"/>
      <c r="B150" s="154"/>
      <c r="C150" s="154"/>
      <c r="D150" s="154"/>
      <c r="E150" s="154"/>
      <c r="F150" s="154"/>
      <c r="G150" s="154"/>
      <c r="H150" s="155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61" t="s">
        <v>201</v>
      </c>
      <c r="U150" s="155">
        <v>-1710</v>
      </c>
      <c r="V150" s="155">
        <v>-3984</v>
      </c>
    </row>
    <row r="151" spans="1:37">
      <c r="A151" s="154"/>
      <c r="B151" s="154"/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154"/>
      <c r="N151" s="154"/>
      <c r="O151" s="154"/>
      <c r="P151" s="154"/>
      <c r="Q151" s="154"/>
      <c r="R151" s="154"/>
      <c r="S151" s="154"/>
      <c r="T151" s="161" t="s">
        <v>203</v>
      </c>
      <c r="U151" s="155">
        <v>6347</v>
      </c>
      <c r="V151" s="155">
        <v>6370</v>
      </c>
    </row>
    <row r="152" spans="1:37" ht="13.8" thickBot="1">
      <c r="A152" s="154"/>
      <c r="B152" s="154"/>
      <c r="C152" s="154"/>
      <c r="D152" s="154"/>
      <c r="E152" s="154"/>
      <c r="F152" s="154"/>
      <c r="G152" s="154"/>
      <c r="H152" s="154"/>
      <c r="I152" s="154"/>
      <c r="J152" s="154"/>
      <c r="K152" s="154"/>
      <c r="L152" s="154"/>
      <c r="M152" s="154"/>
      <c r="N152" s="154"/>
      <c r="O152" s="154"/>
      <c r="P152" s="154"/>
      <c r="Q152" s="154"/>
      <c r="R152" s="154"/>
      <c r="S152" s="154"/>
      <c r="T152" s="161" t="s">
        <v>204</v>
      </c>
      <c r="U152" s="155">
        <v>8866</v>
      </c>
      <c r="V152" s="155">
        <v>8870</v>
      </c>
    </row>
    <row r="153" spans="1:37" ht="14.4">
      <c r="A153" s="187" t="s">
        <v>195</v>
      </c>
      <c r="B153" s="187"/>
      <c r="C153" s="154"/>
      <c r="D153" s="154"/>
      <c r="E153" s="154"/>
      <c r="F153" s="154"/>
      <c r="G153" s="154"/>
      <c r="H153" s="154"/>
      <c r="I153" s="154"/>
      <c r="J153" s="154"/>
      <c r="K153" s="154"/>
      <c r="L153" s="154"/>
      <c r="M153" s="154"/>
      <c r="N153" s="154"/>
      <c r="O153" s="154"/>
      <c r="P153" s="154"/>
      <c r="Q153" s="154"/>
      <c r="R153" s="154"/>
      <c r="S153" s="154"/>
      <c r="T153" s="161" t="s">
        <v>206</v>
      </c>
      <c r="U153" s="155">
        <v>7107</v>
      </c>
      <c r="V153" s="155">
        <v>7644</v>
      </c>
    </row>
    <row r="154" spans="1:37" ht="14.4">
      <c r="A154" s="125" t="s">
        <v>196</v>
      </c>
      <c r="B154" s="188"/>
      <c r="C154" s="154"/>
      <c r="D154" s="154"/>
      <c r="E154" s="154"/>
      <c r="F154" s="154"/>
      <c r="G154" s="154"/>
      <c r="H154" s="154"/>
      <c r="I154" s="154"/>
      <c r="J154" s="154"/>
      <c r="K154" s="188">
        <v>19692.932444597227</v>
      </c>
      <c r="L154" s="154"/>
      <c r="M154" s="154"/>
      <c r="N154" s="154"/>
      <c r="O154" s="154"/>
      <c r="P154" s="154"/>
      <c r="Q154" s="154"/>
      <c r="R154" s="154"/>
      <c r="S154" s="154"/>
      <c r="T154" s="161" t="s">
        <v>208</v>
      </c>
      <c r="U154" s="155">
        <v>7916</v>
      </c>
      <c r="V154" s="155">
        <v>6160</v>
      </c>
    </row>
    <row r="155" spans="1:37" ht="14.4">
      <c r="A155" s="126" t="s">
        <v>198</v>
      </c>
      <c r="B155" s="127"/>
      <c r="C155" s="154"/>
      <c r="D155" s="154"/>
      <c r="E155" s="154"/>
      <c r="F155" s="154"/>
      <c r="G155" s="154"/>
      <c r="H155" s="154"/>
      <c r="I155" s="154"/>
      <c r="J155" s="154"/>
      <c r="K155" s="127">
        <v>18241.092787291091</v>
      </c>
      <c r="L155" s="154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</row>
    <row r="156" spans="1:37" ht="14.4">
      <c r="A156" s="126" t="s">
        <v>200</v>
      </c>
      <c r="B156" s="189"/>
      <c r="C156" s="154"/>
      <c r="D156" s="154"/>
      <c r="E156" s="154"/>
      <c r="F156" s="154"/>
      <c r="G156" s="154"/>
      <c r="H156" s="154"/>
      <c r="I156" s="154"/>
      <c r="J156" s="154"/>
      <c r="K156" s="189">
        <v>1291</v>
      </c>
      <c r="L156" s="154"/>
      <c r="M156" s="154"/>
      <c r="N156" s="154"/>
      <c r="O156" s="154"/>
      <c r="P156" s="154"/>
      <c r="Q156" s="154"/>
      <c r="R156" s="154"/>
      <c r="S156" s="154"/>
      <c r="T156" s="161" t="s">
        <v>211</v>
      </c>
      <c r="U156" s="162">
        <v>176126</v>
      </c>
      <c r="V156" s="162">
        <v>171271</v>
      </c>
    </row>
    <row r="157" spans="1:37" ht="14.4">
      <c r="A157" s="126" t="s">
        <v>202</v>
      </c>
      <c r="B157" s="189"/>
      <c r="C157" s="154"/>
      <c r="D157" s="154"/>
      <c r="E157" s="154"/>
      <c r="F157" s="154"/>
      <c r="G157" s="154"/>
      <c r="H157" s="154"/>
      <c r="I157" s="154"/>
      <c r="J157" s="154"/>
      <c r="K157" s="189">
        <v>687.81372388884904</v>
      </c>
      <c r="L157" s="154"/>
      <c r="M157" s="154"/>
      <c r="N157" s="154"/>
      <c r="O157" s="154"/>
      <c r="P157" s="154"/>
      <c r="Q157" s="154"/>
      <c r="R157" s="154"/>
      <c r="S157" s="154"/>
      <c r="T157" s="154"/>
      <c r="U157" s="154"/>
      <c r="V157" s="154"/>
    </row>
    <row r="158" spans="1:37" ht="14.4">
      <c r="A158" s="126" t="s">
        <v>17</v>
      </c>
      <c r="B158" s="127"/>
      <c r="C158" s="154"/>
      <c r="D158" s="154"/>
      <c r="E158" s="154"/>
      <c r="F158" s="154"/>
      <c r="G158" s="154"/>
      <c r="H158" s="154"/>
      <c r="I158" s="154"/>
      <c r="J158" s="154"/>
      <c r="K158" s="127">
        <v>0</v>
      </c>
      <c r="L158" s="154"/>
      <c r="M158" s="154"/>
      <c r="N158" s="154"/>
      <c r="O158" s="154"/>
      <c r="P158" s="154"/>
      <c r="Q158" s="154"/>
      <c r="R158" s="154"/>
      <c r="S158" s="154"/>
      <c r="T158" s="161" t="s">
        <v>214</v>
      </c>
      <c r="U158" s="191">
        <v>22.249368367862555</v>
      </c>
      <c r="V158" s="191">
        <v>27.803733766233766</v>
      </c>
    </row>
    <row r="159" spans="1:37" ht="14.4">
      <c r="A159" s="128" t="s">
        <v>205</v>
      </c>
      <c r="B159" s="129"/>
      <c r="C159" s="154"/>
      <c r="D159" s="154"/>
      <c r="E159" s="154"/>
      <c r="F159" s="154"/>
      <c r="G159" s="154"/>
      <c r="H159" s="154"/>
      <c r="I159" s="154"/>
      <c r="J159" s="154"/>
      <c r="K159" s="129">
        <v>526.97406658271257</v>
      </c>
      <c r="L159" s="154"/>
      <c r="M159" s="154"/>
      <c r="N159" s="154"/>
      <c r="O159" s="154"/>
      <c r="P159" s="154"/>
      <c r="Q159" s="154"/>
      <c r="R159" s="154"/>
      <c r="S159" s="154"/>
      <c r="T159" s="161" t="s">
        <v>214</v>
      </c>
      <c r="U159" s="191">
        <v>3.5</v>
      </c>
      <c r="V159" s="191">
        <v>3.5</v>
      </c>
    </row>
    <row r="160" spans="1:37" ht="14.4">
      <c r="A160" s="128" t="s">
        <v>207</v>
      </c>
      <c r="B160" s="129"/>
      <c r="C160" s="154"/>
      <c r="D160" s="154"/>
      <c r="E160" s="154"/>
      <c r="F160" s="154"/>
      <c r="G160" s="154"/>
      <c r="H160" s="154"/>
      <c r="I160" s="154"/>
      <c r="J160" s="154"/>
      <c r="K160" s="129">
        <v>0</v>
      </c>
      <c r="L160" s="154"/>
      <c r="M160" s="154"/>
      <c r="N160" s="154"/>
      <c r="O160" s="154"/>
      <c r="P160" s="154"/>
      <c r="Q160" s="154"/>
      <c r="R160" s="154"/>
      <c r="S160" s="154"/>
      <c r="T160" s="161" t="s">
        <v>217</v>
      </c>
      <c r="U160" s="191">
        <v>-18.749368367862555</v>
      </c>
      <c r="V160" s="191">
        <v>-24.303733766233766</v>
      </c>
    </row>
    <row r="161" spans="1:22" ht="14.4">
      <c r="A161" s="128" t="s">
        <v>209</v>
      </c>
      <c r="B161" s="129"/>
      <c r="C161" s="154"/>
      <c r="D161" s="154"/>
      <c r="E161" s="154"/>
      <c r="F161" s="154"/>
      <c r="G161" s="154"/>
      <c r="H161" s="154"/>
      <c r="I161" s="154"/>
      <c r="J161" s="154"/>
      <c r="K161" s="129">
        <v>0</v>
      </c>
      <c r="L161" s="154"/>
      <c r="M161" s="154"/>
      <c r="N161" s="154"/>
      <c r="O161" s="154"/>
      <c r="P161" s="154"/>
      <c r="Q161" s="154"/>
      <c r="R161" s="154"/>
      <c r="S161" s="154"/>
      <c r="T161" s="161" t="s">
        <v>219</v>
      </c>
      <c r="U161" s="162">
        <v>42405.714285714283</v>
      </c>
      <c r="V161" s="162">
        <v>42774.571428571428</v>
      </c>
    </row>
    <row r="162" spans="1:22" ht="14.4">
      <c r="A162" s="130" t="s">
        <v>210</v>
      </c>
      <c r="B162" s="129"/>
      <c r="C162" s="154"/>
      <c r="D162" s="154"/>
      <c r="E162" s="154"/>
      <c r="F162" s="154"/>
      <c r="G162" s="154"/>
      <c r="H162" s="154"/>
      <c r="I162" s="154"/>
      <c r="J162" s="154"/>
      <c r="K162" s="129">
        <v>2775.6015012699886</v>
      </c>
      <c r="L162" s="154"/>
      <c r="M162" s="154"/>
      <c r="N162" s="154"/>
      <c r="O162" s="154"/>
      <c r="P162" s="154"/>
      <c r="Q162" s="154"/>
      <c r="R162" s="154"/>
      <c r="S162" s="154"/>
      <c r="T162" s="154"/>
      <c r="U162" s="154"/>
      <c r="V162" s="154"/>
    </row>
    <row r="163" spans="1:22" ht="14.4">
      <c r="A163" s="131" t="s">
        <v>212</v>
      </c>
      <c r="B163" s="127"/>
      <c r="C163" s="154"/>
      <c r="D163" s="154"/>
      <c r="E163" s="154"/>
      <c r="F163" s="154"/>
      <c r="G163" s="154"/>
      <c r="H163" s="154"/>
      <c r="I163" s="154"/>
      <c r="J163" s="154"/>
      <c r="K163" s="127">
        <v>2665.8305620537099</v>
      </c>
      <c r="L163" s="154"/>
      <c r="M163" s="154"/>
      <c r="N163" s="154"/>
      <c r="O163" s="154"/>
      <c r="P163" s="154"/>
      <c r="Q163" s="154"/>
      <c r="R163" s="154"/>
      <c r="S163" s="154"/>
      <c r="T163" s="154"/>
      <c r="U163" s="154"/>
      <c r="V163" s="154"/>
    </row>
    <row r="164" spans="1:22" ht="14.4">
      <c r="A164" s="131" t="s">
        <v>213</v>
      </c>
      <c r="B164" s="127"/>
      <c r="C164" s="154"/>
      <c r="D164" s="154"/>
      <c r="E164" s="154"/>
      <c r="F164" s="154"/>
      <c r="G164" s="154"/>
      <c r="H164" s="154"/>
      <c r="I164" s="154"/>
      <c r="J164" s="154"/>
      <c r="K164" s="127">
        <v>185.44597201318413</v>
      </c>
      <c r="L164" s="154"/>
      <c r="M164" s="154"/>
      <c r="N164" s="154"/>
      <c r="O164" s="154"/>
      <c r="P164" s="154"/>
      <c r="Q164" s="154"/>
      <c r="R164" s="154"/>
      <c r="S164" s="154"/>
      <c r="T164" s="154"/>
      <c r="U164" s="154"/>
      <c r="V164" s="154"/>
    </row>
    <row r="165" spans="1:22" ht="14.4">
      <c r="A165" s="128" t="s">
        <v>215</v>
      </c>
      <c r="B165" s="127"/>
      <c r="C165" s="154"/>
      <c r="D165" s="154"/>
      <c r="E165" s="154"/>
      <c r="F165" s="154"/>
      <c r="G165" s="154"/>
      <c r="H165" s="154"/>
      <c r="I165" s="154"/>
      <c r="J165" s="154"/>
      <c r="K165" s="127">
        <v>75.6750327969051</v>
      </c>
      <c r="L165" s="154"/>
      <c r="M165" s="154"/>
      <c r="N165" s="154"/>
      <c r="O165" s="154"/>
      <c r="P165" s="154"/>
      <c r="Q165" s="154"/>
      <c r="R165" s="154"/>
      <c r="S165" s="154"/>
      <c r="T165" s="154"/>
      <c r="U165" s="154"/>
      <c r="V165" s="154"/>
    </row>
    <row r="166" spans="1:22" ht="14.4">
      <c r="A166" s="128" t="s">
        <v>216</v>
      </c>
      <c r="B166" s="129"/>
      <c r="C166" s="154"/>
      <c r="D166" s="154"/>
      <c r="E166" s="154"/>
      <c r="F166" s="154"/>
      <c r="G166" s="154"/>
      <c r="H166" s="154"/>
      <c r="I166" s="154"/>
      <c r="J166" s="154"/>
      <c r="K166" s="129">
        <v>0</v>
      </c>
      <c r="L166" s="154"/>
      <c r="M166" s="154"/>
      <c r="N166" s="154"/>
      <c r="O166" s="154"/>
      <c r="P166" s="154"/>
      <c r="Q166" s="154"/>
      <c r="R166" s="154"/>
      <c r="S166" s="154"/>
      <c r="T166" s="154"/>
      <c r="U166" s="154"/>
      <c r="V166" s="154"/>
    </row>
    <row r="167" spans="1:22" ht="14.4">
      <c r="A167" s="133" t="s">
        <v>218</v>
      </c>
      <c r="B167" s="134"/>
      <c r="C167" s="154"/>
      <c r="D167" s="154"/>
      <c r="E167" s="154"/>
      <c r="F167" s="154"/>
      <c r="G167" s="154"/>
      <c r="H167" s="154"/>
      <c r="I167" s="154"/>
      <c r="J167" s="154"/>
      <c r="K167" s="134">
        <v>16917.330943327237</v>
      </c>
      <c r="L167" s="154"/>
      <c r="M167" s="154"/>
      <c r="N167" s="154"/>
      <c r="O167" s="154"/>
      <c r="P167" s="154"/>
      <c r="Q167" s="154"/>
      <c r="R167" s="154"/>
      <c r="S167" s="154"/>
      <c r="T167" s="154"/>
      <c r="U167" s="154"/>
      <c r="V167" s="154"/>
    </row>
    <row r="168" spans="1:22" ht="14.4">
      <c r="A168" s="135" t="s">
        <v>220</v>
      </c>
      <c r="B168" s="127"/>
      <c r="C168" s="154"/>
      <c r="D168" s="154"/>
      <c r="E168" s="154"/>
      <c r="F168" s="154"/>
      <c r="G168" s="154"/>
      <c r="H168" s="154"/>
      <c r="I168" s="154"/>
      <c r="J168" s="154"/>
      <c r="K168" s="127">
        <v>6660.0517582020475</v>
      </c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</row>
    <row r="169" spans="1:22" ht="14.4">
      <c r="A169" s="126" t="s">
        <v>221</v>
      </c>
      <c r="B169" s="129"/>
      <c r="C169" s="154"/>
      <c r="D169" s="154"/>
      <c r="E169" s="154"/>
      <c r="F169" s="154"/>
      <c r="G169" s="154"/>
      <c r="H169" s="154"/>
      <c r="I169" s="154"/>
      <c r="J169" s="154"/>
      <c r="K169" s="129">
        <v>5486.9068051513486</v>
      </c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</row>
    <row r="170" spans="1:22" ht="14.4">
      <c r="A170" s="126" t="s">
        <v>202</v>
      </c>
      <c r="B170" s="129"/>
      <c r="C170" s="154"/>
      <c r="D170" s="154"/>
      <c r="E170" s="154"/>
      <c r="F170" s="154"/>
      <c r="G170" s="154"/>
      <c r="H170" s="154"/>
      <c r="I170" s="154"/>
      <c r="J170" s="154"/>
      <c r="K170" s="129">
        <v>1173.1449530506991</v>
      </c>
      <c r="L170" s="154"/>
      <c r="M170" s="154"/>
      <c r="N170" s="154"/>
      <c r="O170" s="154"/>
      <c r="P170" s="154"/>
      <c r="Q170" s="154"/>
      <c r="R170" s="154"/>
      <c r="S170" s="154"/>
      <c r="T170" s="154"/>
      <c r="U170" s="154"/>
      <c r="V170" s="154"/>
    </row>
    <row r="171" spans="1:22" ht="14.4">
      <c r="A171" s="126" t="s">
        <v>222</v>
      </c>
      <c r="B171" s="129"/>
      <c r="C171" s="154"/>
      <c r="D171" s="154"/>
      <c r="E171" s="154"/>
      <c r="F171" s="154"/>
      <c r="G171" s="154"/>
      <c r="H171" s="154"/>
      <c r="I171" s="154"/>
      <c r="J171" s="154"/>
      <c r="K171" s="129">
        <v>0</v>
      </c>
      <c r="L171" s="154"/>
      <c r="M171" s="154"/>
      <c r="N171" s="154"/>
      <c r="O171" s="154"/>
      <c r="P171" s="154"/>
      <c r="Q171" s="154"/>
      <c r="R171" s="154"/>
      <c r="S171" s="154"/>
      <c r="T171" s="154"/>
      <c r="U171" s="154"/>
      <c r="V171" s="154"/>
    </row>
    <row r="172" spans="1:22" ht="14.4">
      <c r="A172" s="133" t="s">
        <v>2</v>
      </c>
      <c r="B172" s="134"/>
      <c r="C172" s="154"/>
      <c r="D172" s="154"/>
      <c r="E172" s="154"/>
      <c r="F172" s="154"/>
      <c r="G172" s="154"/>
      <c r="H172" s="154"/>
      <c r="I172" s="154"/>
      <c r="J172" s="154"/>
      <c r="K172" s="134">
        <v>10257.27918512519</v>
      </c>
      <c r="L172" s="154"/>
      <c r="M172" s="154"/>
      <c r="N172" s="154"/>
      <c r="O172" s="154"/>
      <c r="P172" s="154"/>
      <c r="Q172" s="154"/>
      <c r="R172" s="154"/>
      <c r="S172" s="154"/>
      <c r="T172" s="154"/>
      <c r="U172" s="154"/>
      <c r="V172" s="154"/>
    </row>
    <row r="173" spans="1:22" ht="14.4">
      <c r="A173" s="136" t="s">
        <v>4</v>
      </c>
      <c r="B173" s="137"/>
      <c r="C173" s="154"/>
      <c r="D173" s="154"/>
      <c r="E173" s="154"/>
      <c r="F173" s="154"/>
      <c r="G173" s="154"/>
      <c r="H173" s="154"/>
      <c r="I173" s="154"/>
      <c r="J173" s="154"/>
      <c r="K173" s="137">
        <v>0.59568235249464341</v>
      </c>
      <c r="L173" s="154"/>
      <c r="M173" s="154"/>
      <c r="N173" s="154"/>
      <c r="O173" s="154"/>
      <c r="P173" s="154"/>
      <c r="Q173" s="154"/>
      <c r="R173" s="154"/>
      <c r="S173" s="154"/>
      <c r="T173" s="154"/>
      <c r="U173" s="154"/>
      <c r="V173" s="154"/>
    </row>
    <row r="174" spans="1:22" ht="14.4">
      <c r="A174" s="136"/>
      <c r="B174" s="138"/>
      <c r="C174" s="154"/>
      <c r="D174" s="154"/>
      <c r="E174" s="154"/>
      <c r="F174" s="154"/>
      <c r="G174" s="154"/>
      <c r="H174" s="154"/>
      <c r="I174" s="154"/>
      <c r="J174" s="154"/>
      <c r="K174" s="138"/>
      <c r="L174" s="154"/>
      <c r="M174" s="154"/>
      <c r="N174" s="154"/>
      <c r="O174" s="154"/>
      <c r="P174" s="154"/>
      <c r="Q174" s="154"/>
      <c r="R174" s="154"/>
      <c r="S174" s="154"/>
      <c r="T174" s="154"/>
      <c r="U174" s="154"/>
      <c r="V174" s="154"/>
    </row>
    <row r="175" spans="1:22" ht="14.4">
      <c r="A175" s="139" t="s">
        <v>52</v>
      </c>
      <c r="B175" s="127"/>
      <c r="C175" s="154"/>
      <c r="D175" s="154"/>
      <c r="E175" s="154"/>
      <c r="F175" s="154"/>
      <c r="G175" s="154"/>
      <c r="H175" s="154"/>
      <c r="I175" s="154"/>
      <c r="J175" s="154"/>
      <c r="K175" s="127">
        <v>10552.775973267757</v>
      </c>
      <c r="L175" s="154"/>
      <c r="M175" s="154"/>
      <c r="N175" s="154"/>
      <c r="O175" s="154"/>
      <c r="P175" s="154"/>
      <c r="Q175" s="154"/>
      <c r="R175" s="154"/>
      <c r="S175" s="154"/>
      <c r="T175" s="154"/>
      <c r="U175" s="154"/>
      <c r="V175" s="154"/>
    </row>
    <row r="176" spans="1:22" ht="14.4">
      <c r="A176" s="140" t="s">
        <v>223</v>
      </c>
      <c r="B176" s="141"/>
      <c r="C176" s="154"/>
      <c r="D176" s="154"/>
      <c r="E176" s="154"/>
      <c r="F176" s="154"/>
      <c r="G176" s="154"/>
      <c r="H176" s="154"/>
      <c r="I176" s="154"/>
      <c r="J176" s="154"/>
      <c r="K176" s="141">
        <v>5708.2018461197977</v>
      </c>
      <c r="L176" s="154"/>
      <c r="M176" s="154"/>
      <c r="N176" s="154"/>
      <c r="O176" s="154"/>
      <c r="P176" s="154"/>
      <c r="Q176" s="154"/>
      <c r="R176" s="154"/>
      <c r="S176" s="154"/>
      <c r="T176" s="154"/>
      <c r="U176" s="154"/>
      <c r="V176" s="154"/>
    </row>
    <row r="177" spans="1:17" ht="14.4">
      <c r="A177" s="140" t="s">
        <v>224</v>
      </c>
      <c r="B177" s="127"/>
      <c r="C177" s="154"/>
      <c r="D177" s="154"/>
      <c r="E177" s="154"/>
      <c r="F177" s="154"/>
      <c r="G177" s="154"/>
      <c r="H177" s="154"/>
      <c r="I177" s="154"/>
      <c r="J177" s="154"/>
      <c r="K177" s="127">
        <v>4844.5741271479592</v>
      </c>
      <c r="Q177" s="109"/>
    </row>
    <row r="178" spans="1:17" ht="14.4">
      <c r="A178" s="139" t="s">
        <v>225</v>
      </c>
      <c r="B178" s="127"/>
      <c r="C178" s="154"/>
      <c r="D178" s="154"/>
      <c r="E178" s="154"/>
      <c r="F178" s="154"/>
      <c r="G178" s="154"/>
      <c r="H178" s="154"/>
      <c r="I178" s="154"/>
      <c r="J178" s="154"/>
      <c r="K178" s="127">
        <v>2530.7577717723161</v>
      </c>
      <c r="Q178" s="109"/>
    </row>
    <row r="179" spans="1:17" ht="14.4">
      <c r="A179" s="125" t="s">
        <v>225</v>
      </c>
      <c r="B179" s="127"/>
      <c r="C179" s="154"/>
      <c r="D179" s="154"/>
      <c r="E179" s="154"/>
      <c r="F179" s="154"/>
      <c r="G179" s="154"/>
      <c r="H179" s="154"/>
      <c r="I179" s="154"/>
      <c r="J179" s="154"/>
      <c r="K179" s="127">
        <v>1973.1285357426675</v>
      </c>
      <c r="Q179" s="109"/>
    </row>
    <row r="180" spans="1:17" ht="14.4">
      <c r="A180" s="125" t="s">
        <v>3</v>
      </c>
      <c r="B180" s="142"/>
      <c r="C180" s="154"/>
      <c r="D180" s="154"/>
      <c r="E180" s="154"/>
      <c r="F180" s="154"/>
      <c r="G180" s="154"/>
      <c r="H180" s="154"/>
      <c r="I180" s="154"/>
      <c r="J180" s="154"/>
      <c r="K180" s="142">
        <v>201.02146102964883</v>
      </c>
      <c r="Q180" s="109"/>
    </row>
    <row r="181" spans="1:17" ht="14.4">
      <c r="A181" s="125" t="s">
        <v>226</v>
      </c>
      <c r="B181" s="143"/>
      <c r="C181" s="154"/>
      <c r="D181" s="154"/>
      <c r="E181" s="154"/>
      <c r="F181" s="154"/>
      <c r="G181" s="154"/>
      <c r="H181" s="154"/>
      <c r="I181" s="154"/>
      <c r="J181" s="154"/>
      <c r="K181" s="143">
        <v>356.607775</v>
      </c>
      <c r="Q181" s="109"/>
    </row>
    <row r="182" spans="1:17" ht="14.4">
      <c r="A182" s="139" t="s">
        <v>227</v>
      </c>
      <c r="B182" s="127"/>
      <c r="C182" s="154"/>
      <c r="D182" s="154"/>
      <c r="E182" s="154"/>
      <c r="F182" s="154"/>
      <c r="G182" s="154"/>
      <c r="H182" s="154"/>
      <c r="I182" s="154"/>
      <c r="J182" s="154"/>
      <c r="K182" s="127">
        <v>-218.33333333333334</v>
      </c>
      <c r="Q182" s="109"/>
    </row>
    <row r="183" spans="1:17" ht="14.4">
      <c r="A183" s="125" t="s">
        <v>228</v>
      </c>
      <c r="B183" s="143"/>
      <c r="C183" s="154"/>
      <c r="D183" s="154"/>
      <c r="E183" s="154"/>
      <c r="F183" s="154"/>
      <c r="G183" s="154"/>
      <c r="H183" s="154"/>
      <c r="I183" s="154"/>
      <c r="J183" s="154"/>
      <c r="K183" s="143">
        <v>40</v>
      </c>
      <c r="Q183" s="109"/>
    </row>
    <row r="184" spans="1:17" ht="14.4">
      <c r="A184" s="125" t="s">
        <v>229</v>
      </c>
      <c r="B184" s="142"/>
      <c r="C184" s="154"/>
      <c r="D184" s="154"/>
      <c r="E184" s="154"/>
      <c r="F184" s="154"/>
      <c r="G184" s="154"/>
      <c r="H184" s="154"/>
      <c r="I184" s="154"/>
      <c r="J184" s="154"/>
      <c r="K184" s="142">
        <v>250</v>
      </c>
      <c r="Q184" s="109"/>
    </row>
    <row r="185" spans="1:17" ht="14.4">
      <c r="A185" s="140" t="s">
        <v>230</v>
      </c>
      <c r="B185" s="129"/>
      <c r="C185" s="154"/>
      <c r="D185" s="154"/>
      <c r="E185" s="154"/>
      <c r="F185" s="154"/>
      <c r="G185" s="154"/>
      <c r="H185" s="154"/>
      <c r="I185" s="154"/>
      <c r="J185" s="154"/>
      <c r="K185" s="129">
        <v>-8.3333333333333339</v>
      </c>
      <c r="Q185" s="109"/>
    </row>
    <row r="186" spans="1:17" ht="14.4">
      <c r="A186" s="125" t="s">
        <v>231</v>
      </c>
      <c r="B186" s="144"/>
      <c r="C186" s="154"/>
      <c r="D186" s="154"/>
      <c r="E186" s="154"/>
      <c r="F186" s="154"/>
      <c r="G186" s="154"/>
      <c r="H186" s="154"/>
      <c r="I186" s="154"/>
      <c r="J186" s="154"/>
      <c r="K186" s="144">
        <v>0</v>
      </c>
      <c r="Q186" s="109"/>
    </row>
    <row r="187" spans="1:17" ht="14.4">
      <c r="A187" s="139" t="s">
        <v>232</v>
      </c>
      <c r="B187" s="127"/>
      <c r="C187" s="154"/>
      <c r="D187" s="154"/>
      <c r="E187" s="154"/>
      <c r="F187" s="154"/>
      <c r="G187" s="154"/>
      <c r="H187" s="154"/>
      <c r="I187" s="154"/>
      <c r="J187" s="154"/>
      <c r="K187" s="127">
        <v>-1667.3769621482606</v>
      </c>
      <c r="Q187" s="109"/>
    </row>
    <row r="188" spans="1:17" ht="14.4">
      <c r="A188" s="125" t="s">
        <v>233</v>
      </c>
      <c r="B188" s="142"/>
      <c r="C188" s="154"/>
      <c r="D188" s="154"/>
      <c r="E188" s="154"/>
      <c r="F188" s="154"/>
      <c r="G188" s="154"/>
      <c r="H188" s="154"/>
      <c r="I188" s="154"/>
      <c r="J188" s="154"/>
      <c r="K188" s="142">
        <v>140.84719683872652</v>
      </c>
      <c r="Q188" s="109"/>
    </row>
    <row r="189" spans="1:17" ht="14.4">
      <c r="A189" s="125" t="s">
        <v>234</v>
      </c>
      <c r="B189" s="142"/>
      <c r="C189" s="154"/>
      <c r="D189" s="154"/>
      <c r="E189" s="154"/>
      <c r="F189" s="154"/>
      <c r="G189" s="154"/>
      <c r="H189" s="154"/>
      <c r="I189" s="154"/>
      <c r="J189" s="154"/>
      <c r="K189" s="142">
        <v>-666.72890933849135</v>
      </c>
      <c r="Q189" s="109"/>
    </row>
    <row r="190" spans="1:17" ht="14.4">
      <c r="A190" s="140" t="s">
        <v>235</v>
      </c>
      <c r="B190" s="142"/>
      <c r="C190" s="154"/>
      <c r="D190" s="154"/>
      <c r="E190" s="154"/>
      <c r="F190" s="154"/>
      <c r="G190" s="154"/>
      <c r="H190" s="154"/>
      <c r="I190" s="154"/>
      <c r="J190" s="154"/>
      <c r="K190" s="142">
        <v>-1141.4952496484957</v>
      </c>
      <c r="Q190" s="109"/>
    </row>
    <row r="191" spans="1:17" ht="14.4">
      <c r="A191" s="139" t="s">
        <v>236</v>
      </c>
      <c r="B191" s="129"/>
      <c r="C191" s="154"/>
      <c r="D191" s="154"/>
      <c r="E191" s="154"/>
      <c r="F191" s="154"/>
      <c r="G191" s="154"/>
      <c r="H191" s="154"/>
      <c r="I191" s="154"/>
      <c r="J191" s="154"/>
      <c r="K191" s="129">
        <v>-796.97317125585778</v>
      </c>
      <c r="Q191" s="109"/>
    </row>
    <row r="192" spans="1:17" ht="14.4">
      <c r="A192" s="139" t="s">
        <v>237</v>
      </c>
      <c r="B192" s="129"/>
      <c r="C192" s="154"/>
      <c r="D192" s="154"/>
      <c r="E192" s="154"/>
      <c r="F192" s="154"/>
      <c r="G192" s="154"/>
      <c r="H192" s="154"/>
      <c r="I192" s="154"/>
      <c r="J192" s="154"/>
      <c r="K192" s="129">
        <v>-2348.0360527856596</v>
      </c>
      <c r="Q192" s="109"/>
    </row>
    <row r="193" spans="1:17" ht="14.4">
      <c r="A193" s="139" t="s">
        <v>238</v>
      </c>
      <c r="B193" s="145"/>
      <c r="C193" s="154"/>
      <c r="D193" s="154"/>
      <c r="E193" s="154"/>
      <c r="F193" s="154"/>
      <c r="G193" s="154"/>
      <c r="H193" s="154"/>
      <c r="I193" s="154"/>
      <c r="J193" s="154"/>
      <c r="K193" s="145">
        <v>692.39995327335271</v>
      </c>
      <c r="Q193" s="109"/>
    </row>
    <row r="194" spans="1:17" ht="14.4">
      <c r="A194" s="146" t="s">
        <v>239</v>
      </c>
      <c r="B194" s="134"/>
      <c r="C194" s="154"/>
      <c r="D194" s="154"/>
      <c r="E194" s="154"/>
      <c r="F194" s="154"/>
      <c r="G194" s="154"/>
      <c r="H194" s="154"/>
      <c r="I194" s="154"/>
      <c r="J194" s="154"/>
      <c r="K194" s="134">
        <v>1075.3983396682083</v>
      </c>
      <c r="Q194" s="109"/>
    </row>
    <row r="195" spans="1:17" ht="14.4">
      <c r="A195" s="147" t="s">
        <v>7</v>
      </c>
      <c r="B195" s="148"/>
      <c r="C195" s="154"/>
      <c r="D195" s="154"/>
      <c r="E195" s="154"/>
      <c r="F195" s="154"/>
      <c r="G195" s="154"/>
      <c r="H195" s="154"/>
      <c r="I195" s="154"/>
      <c r="J195" s="154"/>
      <c r="K195" s="148">
        <v>6.3567849046092084E-2</v>
      </c>
      <c r="Q195" s="109"/>
    </row>
    <row r="196" spans="1:17" ht="15" thickBot="1">
      <c r="A196" s="147"/>
      <c r="B196" s="138"/>
      <c r="C196" s="154"/>
      <c r="D196" s="154"/>
      <c r="E196" s="154"/>
      <c r="F196" s="154"/>
      <c r="G196" s="154"/>
      <c r="H196" s="154"/>
      <c r="I196" s="154"/>
      <c r="J196" s="154"/>
      <c r="K196" s="138"/>
      <c r="Q196" s="109"/>
    </row>
    <row r="197" spans="1:17" ht="14.4">
      <c r="A197" s="149" t="s">
        <v>240</v>
      </c>
      <c r="B197" s="150"/>
      <c r="C197" s="154"/>
      <c r="D197" s="154"/>
      <c r="E197" s="154"/>
      <c r="F197" s="154"/>
      <c r="G197" s="154"/>
      <c r="H197" s="154"/>
      <c r="I197" s="154"/>
      <c r="J197" s="154"/>
      <c r="K197" s="150"/>
      <c r="Q197" s="109"/>
    </row>
    <row r="198" spans="1:17" ht="14.4">
      <c r="A198" s="140" t="s">
        <v>241</v>
      </c>
      <c r="B198" s="129"/>
      <c r="C198" s="154"/>
      <c r="D198" s="154"/>
      <c r="E198" s="154"/>
      <c r="F198" s="154"/>
      <c r="G198" s="154"/>
      <c r="H198" s="154"/>
      <c r="I198" s="154"/>
      <c r="J198" s="154"/>
      <c r="K198" s="129">
        <v>927.06666666666672</v>
      </c>
      <c r="Q198" s="109"/>
    </row>
    <row r="199" spans="1:17" ht="14.4">
      <c r="A199" s="140" t="s">
        <v>242</v>
      </c>
      <c r="B199" s="129"/>
      <c r="C199" s="154"/>
      <c r="D199" s="154"/>
      <c r="E199" s="154"/>
      <c r="F199" s="154"/>
      <c r="G199" s="154"/>
      <c r="H199" s="154"/>
      <c r="I199" s="154"/>
      <c r="J199" s="154"/>
      <c r="K199" s="129">
        <v>0</v>
      </c>
      <c r="Q199" s="109"/>
    </row>
    <row r="200" spans="1:17" ht="14.4">
      <c r="A200" s="140" t="s">
        <v>243</v>
      </c>
      <c r="B200" s="151"/>
      <c r="C200" s="154"/>
      <c r="D200" s="154"/>
      <c r="E200" s="154"/>
      <c r="F200" s="154"/>
      <c r="G200" s="154"/>
      <c r="H200" s="154"/>
      <c r="I200" s="154"/>
      <c r="J200" s="154"/>
      <c r="K200" s="151">
        <v>0</v>
      </c>
      <c r="Q200" s="109"/>
    </row>
    <row r="201" spans="1:17" ht="14.4">
      <c r="A201" s="146" t="s">
        <v>244</v>
      </c>
      <c r="B201" s="134"/>
      <c r="C201" s="154"/>
      <c r="D201" s="154"/>
      <c r="E201" s="154"/>
      <c r="F201" s="154"/>
      <c r="G201" s="154"/>
      <c r="H201" s="154"/>
      <c r="I201" s="154"/>
      <c r="J201" s="154"/>
      <c r="K201" s="134">
        <v>2002.4650063348749</v>
      </c>
      <c r="Q201" s="109"/>
    </row>
    <row r="202" spans="1:17" ht="14.4">
      <c r="A202" s="152" t="s">
        <v>6</v>
      </c>
      <c r="B202" s="148"/>
      <c r="C202" s="154"/>
      <c r="D202" s="154"/>
      <c r="E202" s="154"/>
      <c r="F202" s="154"/>
      <c r="G202" s="154"/>
      <c r="H202" s="154"/>
      <c r="I202" s="154"/>
      <c r="J202" s="154"/>
      <c r="K202" s="148">
        <v>0.11836766763286111</v>
      </c>
      <c r="Q202" s="109"/>
    </row>
    <row r="203" spans="1:17" ht="14.4">
      <c r="A203" s="153"/>
      <c r="B203" s="138"/>
      <c r="C203" s="154"/>
      <c r="D203" s="154"/>
      <c r="E203" s="154"/>
      <c r="F203" s="154"/>
      <c r="G203" s="154"/>
      <c r="H203" s="154"/>
      <c r="I203" s="154"/>
      <c r="J203" s="154"/>
      <c r="K203" s="138"/>
      <c r="Q203" s="109"/>
    </row>
    <row r="204" spans="1:17" ht="14.4">
      <c r="A204" s="140" t="s">
        <v>245</v>
      </c>
      <c r="B204" s="129"/>
      <c r="C204" s="154"/>
      <c r="D204" s="154"/>
      <c r="E204" s="154"/>
      <c r="F204" s="154"/>
      <c r="G204" s="154"/>
      <c r="H204" s="154"/>
      <c r="I204" s="154"/>
      <c r="J204" s="154"/>
      <c r="K204" s="129">
        <v>496.91821947521396</v>
      </c>
      <c r="Q204" s="109"/>
    </row>
    <row r="205" spans="1:17" ht="14.4">
      <c r="A205" s="140" t="s">
        <v>246</v>
      </c>
      <c r="B205" s="129"/>
      <c r="C205" s="154"/>
      <c r="D205" s="154"/>
      <c r="E205" s="154"/>
      <c r="F205" s="154"/>
      <c r="G205" s="154"/>
      <c r="H205" s="154"/>
      <c r="I205" s="154"/>
      <c r="J205" s="154"/>
      <c r="K205" s="129"/>
      <c r="Q205" s="109"/>
    </row>
    <row r="206" spans="1:17" ht="14.4">
      <c r="A206" s="140" t="s">
        <v>247</v>
      </c>
      <c r="B206" s="129"/>
      <c r="C206" s="154"/>
      <c r="D206" s="154"/>
      <c r="E206" s="154"/>
      <c r="F206" s="154"/>
      <c r="G206" s="154"/>
      <c r="H206" s="154"/>
      <c r="I206" s="154"/>
      <c r="J206" s="154"/>
      <c r="K206" s="129">
        <v>-1667.3769621482606</v>
      </c>
      <c r="Q206" s="109"/>
    </row>
    <row r="207" spans="1:17" ht="14.4">
      <c r="A207" s="140" t="s">
        <v>248</v>
      </c>
      <c r="B207" s="129"/>
      <c r="C207" s="154"/>
      <c r="D207" s="154"/>
      <c r="E207" s="154"/>
      <c r="F207" s="154"/>
      <c r="G207" s="154"/>
      <c r="H207" s="154"/>
      <c r="I207" s="154"/>
      <c r="J207" s="154"/>
      <c r="K207" s="129">
        <v>-796.97317125585778</v>
      </c>
    </row>
    <row r="208" spans="1:17" ht="14.4">
      <c r="A208" s="140" t="s">
        <v>249</v>
      </c>
      <c r="B208" s="129"/>
      <c r="C208" s="154"/>
      <c r="D208" s="154"/>
      <c r="E208" s="154"/>
      <c r="F208" s="154"/>
      <c r="G208" s="154"/>
      <c r="H208" s="154"/>
      <c r="I208" s="154"/>
      <c r="J208" s="154"/>
      <c r="K208" s="129">
        <v>-2348.0360527856596</v>
      </c>
    </row>
    <row r="209" spans="1:22" ht="14.4">
      <c r="A209" s="140" t="s">
        <v>250</v>
      </c>
      <c r="B209" s="129"/>
      <c r="C209" s="154"/>
      <c r="D209" s="154"/>
      <c r="E209" s="154"/>
      <c r="F209" s="154"/>
      <c r="G209" s="154"/>
      <c r="H209" s="154"/>
      <c r="I209" s="154"/>
      <c r="J209" s="154"/>
      <c r="K209" s="129">
        <v>-234.66671339331401</v>
      </c>
    </row>
    <row r="210" spans="1:22" ht="14.4">
      <c r="A210" s="146" t="s">
        <v>251</v>
      </c>
      <c r="B210" s="134"/>
      <c r="C210" s="154"/>
      <c r="D210" s="154"/>
      <c r="E210" s="154"/>
      <c r="F210" s="154"/>
      <c r="G210" s="154"/>
      <c r="H210" s="154"/>
      <c r="I210" s="154"/>
      <c r="J210" s="154"/>
      <c r="K210" s="134">
        <v>-2547.669673773004</v>
      </c>
    </row>
    <row r="211" spans="1:22" ht="14.4">
      <c r="A211" s="152" t="s">
        <v>5</v>
      </c>
      <c r="B211" s="148"/>
      <c r="C211" s="154"/>
      <c r="D211" s="154"/>
      <c r="E211" s="154"/>
      <c r="F211" s="154"/>
      <c r="G211" s="154"/>
      <c r="H211" s="154"/>
      <c r="I211" s="154"/>
      <c r="J211" s="154"/>
      <c r="K211" s="148">
        <v>-0.15059524946976877</v>
      </c>
      <c r="T211" s="111"/>
    </row>
    <row r="212" spans="1:22" ht="14.4">
      <c r="A212" s="153"/>
      <c r="B212" s="138"/>
      <c r="C212" s="154"/>
      <c r="D212" s="154"/>
      <c r="E212" s="154"/>
      <c r="F212" s="154"/>
      <c r="G212" s="154"/>
      <c r="H212" s="154"/>
      <c r="I212" s="154"/>
      <c r="J212" s="154"/>
      <c r="K212" s="138"/>
      <c r="T212" s="111"/>
      <c r="U212" s="111"/>
      <c r="V212" s="111"/>
    </row>
    <row r="213" spans="1:22" ht="14.4">
      <c r="A213" s="140" t="s">
        <v>252</v>
      </c>
      <c r="B213" s="129"/>
      <c r="C213" s="154"/>
      <c r="D213" s="154"/>
      <c r="E213" s="154"/>
      <c r="F213" s="154"/>
      <c r="G213" s="154"/>
      <c r="H213" s="154"/>
      <c r="I213" s="154"/>
      <c r="J213" s="154"/>
      <c r="K213" s="129">
        <v>1141.4952496484957</v>
      </c>
      <c r="T213" s="111"/>
      <c r="U213" s="108"/>
      <c r="V213" s="108"/>
    </row>
    <row r="214" spans="1:22" ht="14.4">
      <c r="A214" s="140" t="s">
        <v>253</v>
      </c>
      <c r="B214" s="129"/>
      <c r="C214" s="154"/>
      <c r="D214" s="154"/>
      <c r="E214" s="154"/>
      <c r="F214" s="154"/>
      <c r="G214" s="154"/>
      <c r="H214" s="154"/>
      <c r="I214" s="154"/>
      <c r="J214" s="154"/>
      <c r="K214" s="129">
        <v>-690.19621586268818</v>
      </c>
      <c r="T214" s="111"/>
      <c r="U214" s="108"/>
      <c r="V214" s="108"/>
    </row>
    <row r="215" spans="1:22" ht="14.4">
      <c r="A215" s="146" t="s">
        <v>254</v>
      </c>
      <c r="B215" s="134"/>
      <c r="C215" s="154"/>
      <c r="D215" s="154"/>
      <c r="E215" s="154"/>
      <c r="F215" s="154"/>
      <c r="G215" s="154"/>
      <c r="H215" s="154"/>
      <c r="I215" s="154"/>
      <c r="J215" s="154"/>
      <c r="K215" s="134">
        <v>-2096.3706399871962</v>
      </c>
      <c r="T215" s="111"/>
      <c r="U215" s="108"/>
      <c r="V215" s="108"/>
    </row>
    <row r="216" spans="1:22" ht="14.4">
      <c r="A216" s="152" t="s">
        <v>255</v>
      </c>
      <c r="B216" s="148"/>
      <c r="C216" s="154"/>
      <c r="D216" s="154"/>
      <c r="E216" s="154"/>
      <c r="F216" s="154"/>
      <c r="G216" s="154"/>
      <c r="H216" s="154"/>
      <c r="I216" s="154"/>
      <c r="J216" s="154"/>
      <c r="K216" s="148">
        <v>-0.12391852160426495</v>
      </c>
      <c r="T216" s="111"/>
      <c r="U216" s="108"/>
      <c r="V216" s="108"/>
    </row>
    <row r="217" spans="1:22" ht="14.4">
      <c r="A217" s="128" t="s">
        <v>207</v>
      </c>
      <c r="B217" s="129"/>
      <c r="K217" s="129">
        <v>0</v>
      </c>
      <c r="T217" s="111" t="s">
        <v>208</v>
      </c>
      <c r="U217" s="108">
        <f>U213-U214+U215+U216</f>
        <v>0</v>
      </c>
      <c r="V217" s="108">
        <f>V213-V214+V215+V216</f>
        <v>0</v>
      </c>
    </row>
    <row r="218" spans="1:22" ht="14.4">
      <c r="A218" s="128" t="s">
        <v>209</v>
      </c>
      <c r="B218" s="129"/>
      <c r="K218" s="129">
        <v>0</v>
      </c>
    </row>
    <row r="219" spans="1:22" ht="14.4">
      <c r="A219" s="130" t="s">
        <v>210</v>
      </c>
      <c r="B219" s="129"/>
      <c r="K219" s="129">
        <f>SUM(K220:K221,K223)-K222</f>
        <v>2775.6015012699886</v>
      </c>
      <c r="T219" s="111" t="s">
        <v>211</v>
      </c>
      <c r="U219" s="109">
        <f>(C53+C65+J53)-C9</f>
        <v>176126</v>
      </c>
      <c r="V219" s="109">
        <f>(L53+L65)-L9</f>
        <v>171271</v>
      </c>
    </row>
    <row r="220" spans="1:22" ht="14.4">
      <c r="A220" s="131" t="s">
        <v>212</v>
      </c>
      <c r="B220" s="127"/>
      <c r="K220" s="127">
        <v>2665.8305620537099</v>
      </c>
    </row>
    <row r="221" spans="1:22" ht="14.4">
      <c r="A221" s="131" t="s">
        <v>213</v>
      </c>
      <c r="B221" s="127"/>
      <c r="K221" s="127">
        <v>185.44597201318413</v>
      </c>
      <c r="T221" s="111" t="s">
        <v>214</v>
      </c>
      <c r="U221" s="132" t="e">
        <f>U219/U217</f>
        <v>#DIV/0!</v>
      </c>
      <c r="V221" s="132" t="e">
        <f>V219/V217</f>
        <v>#DIV/0!</v>
      </c>
    </row>
    <row r="222" spans="1:22" ht="14.4">
      <c r="A222" s="128" t="s">
        <v>215</v>
      </c>
      <c r="B222" s="127"/>
      <c r="K222" s="127">
        <v>75.6750327969051</v>
      </c>
      <c r="T222" s="111" t="s">
        <v>214</v>
      </c>
      <c r="U222" s="132">
        <v>3.5</v>
      </c>
      <c r="V222" s="132">
        <v>3.5</v>
      </c>
    </row>
    <row r="223" spans="1:22" ht="14.4">
      <c r="A223" s="128" t="s">
        <v>216</v>
      </c>
      <c r="B223" s="129"/>
      <c r="K223" s="129">
        <v>0</v>
      </c>
      <c r="T223" s="111" t="s">
        <v>217</v>
      </c>
      <c r="U223" s="132" t="e">
        <f>U222-U221</f>
        <v>#DIV/0!</v>
      </c>
      <c r="V223" s="132" t="e">
        <f>V222-V221</f>
        <v>#DIV/0!</v>
      </c>
    </row>
    <row r="224" spans="1:22" ht="14.4">
      <c r="A224" s="133" t="s">
        <v>218</v>
      </c>
      <c r="B224" s="134"/>
      <c r="K224" s="134">
        <f>K211-K219</f>
        <v>-2775.7520965194585</v>
      </c>
      <c r="T224" s="111" t="s">
        <v>219</v>
      </c>
      <c r="U224" s="109">
        <f>U219/U222-U217</f>
        <v>50321.714285714283</v>
      </c>
      <c r="V224" s="109">
        <f>V219/V222-V217</f>
        <v>48934.571428571428</v>
      </c>
    </row>
    <row r="225" spans="1:11" ht="14.4">
      <c r="A225" s="135" t="s">
        <v>220</v>
      </c>
      <c r="B225" s="127"/>
      <c r="K225" s="127">
        <f>SUM(K226:K228)</f>
        <v>6660.0517582020475</v>
      </c>
    </row>
    <row r="226" spans="1:11" ht="14.4">
      <c r="A226" s="126" t="s">
        <v>221</v>
      </c>
      <c r="B226" s="129"/>
      <c r="K226" s="129">
        <v>5486.9068051513486</v>
      </c>
    </row>
    <row r="227" spans="1:11" ht="14.4">
      <c r="A227" s="126" t="s">
        <v>202</v>
      </c>
      <c r="B227" s="129"/>
      <c r="K227" s="129">
        <v>1173.1449530506991</v>
      </c>
    </row>
    <row r="228" spans="1:11" ht="14.4">
      <c r="A228" s="126" t="s">
        <v>222</v>
      </c>
      <c r="B228" s="129"/>
      <c r="K228" s="129">
        <v>0</v>
      </c>
    </row>
    <row r="229" spans="1:11" ht="14.4">
      <c r="A229" s="133" t="s">
        <v>2</v>
      </c>
      <c r="B229" s="134"/>
      <c r="K229" s="134">
        <f>K224-K225</f>
        <v>-9435.8038547215056</v>
      </c>
    </row>
    <row r="230" spans="1:11" ht="14.4">
      <c r="A230" s="136" t="s">
        <v>4</v>
      </c>
      <c r="B230" s="137"/>
      <c r="K230" s="137">
        <v>0.59568235249464341</v>
      </c>
    </row>
    <row r="231" spans="1:11" ht="14.4">
      <c r="A231" s="136"/>
      <c r="B231" s="138"/>
      <c r="K231" s="138"/>
    </row>
    <row r="232" spans="1:11" ht="14.4">
      <c r="A232" s="139" t="s">
        <v>52</v>
      </c>
      <c r="B232" s="127"/>
      <c r="K232" s="127">
        <f>K233+K234</f>
        <v>10552.775973267757</v>
      </c>
    </row>
    <row r="233" spans="1:11" ht="14.4">
      <c r="A233" s="140" t="s">
        <v>223</v>
      </c>
      <c r="B233" s="141"/>
      <c r="K233" s="141">
        <v>5708.2018461197977</v>
      </c>
    </row>
    <row r="234" spans="1:11" ht="14.4">
      <c r="A234" s="140" t="s">
        <v>224</v>
      </c>
      <c r="B234" s="127"/>
      <c r="K234" s="127">
        <v>4844.5741271479592</v>
      </c>
    </row>
    <row r="235" spans="1:11" ht="14.4">
      <c r="A235" s="139" t="s">
        <v>225</v>
      </c>
      <c r="B235" s="127"/>
      <c r="K235" s="127">
        <f>SUM(K236:K238)</f>
        <v>2530.7577717723161</v>
      </c>
    </row>
    <row r="236" spans="1:11" ht="14.4">
      <c r="A236" s="125" t="s">
        <v>225</v>
      </c>
      <c r="B236" s="127"/>
      <c r="K236" s="127">
        <v>1973.1285357426675</v>
      </c>
    </row>
    <row r="237" spans="1:11" ht="14.4">
      <c r="A237" s="125" t="s">
        <v>3</v>
      </c>
      <c r="B237" s="142"/>
      <c r="K237" s="142">
        <v>201.02146102964883</v>
      </c>
    </row>
    <row r="238" spans="1:11" ht="14.4">
      <c r="A238" s="125" t="s">
        <v>226</v>
      </c>
      <c r="B238" s="143"/>
      <c r="K238" s="143">
        <v>356.607775</v>
      </c>
    </row>
    <row r="239" spans="1:11" ht="14.4">
      <c r="A239" s="139" t="s">
        <v>227</v>
      </c>
      <c r="B239" s="127"/>
      <c r="K239" s="127">
        <f>K240-K241+K242-K243</f>
        <v>-218.33333333333334</v>
      </c>
    </row>
    <row r="240" spans="1:11" ht="14.4">
      <c r="A240" s="125" t="s">
        <v>228</v>
      </c>
      <c r="B240" s="143"/>
      <c r="K240" s="143">
        <v>40</v>
      </c>
    </row>
    <row r="241" spans="1:11" ht="14.4">
      <c r="A241" s="125" t="s">
        <v>229</v>
      </c>
      <c r="B241" s="142"/>
      <c r="K241" s="142">
        <v>250</v>
      </c>
    </row>
    <row r="242" spans="1:11" ht="14.4">
      <c r="A242" s="140" t="s">
        <v>230</v>
      </c>
      <c r="B242" s="129"/>
      <c r="K242" s="129">
        <v>-8.3333333333333339</v>
      </c>
    </row>
    <row r="243" spans="1:11" ht="14.4">
      <c r="A243" s="125" t="s">
        <v>231</v>
      </c>
      <c r="B243" s="144"/>
      <c r="K243" s="144">
        <v>0</v>
      </c>
    </row>
    <row r="244" spans="1:11" ht="14.4">
      <c r="A244" s="139" t="s">
        <v>232</v>
      </c>
      <c r="B244" s="127"/>
      <c r="K244" s="127">
        <f>SUM(K245:K247)</f>
        <v>-1667.3769621482606</v>
      </c>
    </row>
    <row r="245" spans="1:11" ht="14.4">
      <c r="A245" s="125" t="s">
        <v>233</v>
      </c>
      <c r="B245" s="142"/>
      <c r="K245" s="142">
        <v>140.84719683872652</v>
      </c>
    </row>
    <row r="246" spans="1:11" ht="14.4">
      <c r="A246" s="125" t="s">
        <v>234</v>
      </c>
      <c r="B246" s="142"/>
      <c r="K246" s="142">
        <v>-666.72890933849135</v>
      </c>
    </row>
    <row r="247" spans="1:11" ht="14.4">
      <c r="A247" s="140" t="s">
        <v>235</v>
      </c>
      <c r="B247" s="142"/>
      <c r="K247" s="142">
        <v>-1141.4952496484957</v>
      </c>
    </row>
    <row r="248" spans="1:11" ht="14.4">
      <c r="A248" s="139" t="s">
        <v>236</v>
      </c>
      <c r="B248" s="129"/>
      <c r="K248" s="129">
        <v>-796.97317125585778</v>
      </c>
    </row>
    <row r="249" spans="1:11" ht="14.4">
      <c r="A249" s="139" t="s">
        <v>237</v>
      </c>
      <c r="B249" s="129"/>
      <c r="K249" s="129">
        <v>-2348.0360527856596</v>
      </c>
    </row>
    <row r="250" spans="1:11" ht="14.4">
      <c r="A250" s="139" t="s">
        <v>238</v>
      </c>
      <c r="B250" s="145"/>
      <c r="K250" s="145">
        <v>692.39995327335271</v>
      </c>
    </row>
    <row r="251" spans="1:11" ht="14.4">
      <c r="A251" s="146" t="s">
        <v>239</v>
      </c>
      <c r="B251" s="134"/>
      <c r="K251" s="134">
        <f>K229-K232-K235+K239-K244-K248-K249-K250</f>
        <v>-18617.684700178488</v>
      </c>
    </row>
    <row r="252" spans="1:11" ht="14.4">
      <c r="A252" s="147" t="s">
        <v>7</v>
      </c>
      <c r="B252" s="148"/>
      <c r="K252" s="148">
        <f>K251/K224</f>
        <v>6.7072577279229568</v>
      </c>
    </row>
    <row r="253" spans="1:11" ht="15" thickBot="1">
      <c r="A253" s="147"/>
      <c r="B253" s="138"/>
      <c r="K253" s="138"/>
    </row>
    <row r="254" spans="1:11" ht="14.4">
      <c r="A254" s="149" t="s">
        <v>240</v>
      </c>
      <c r="B254" s="150"/>
      <c r="K254" s="150"/>
    </row>
    <row r="255" spans="1:11" ht="14.4">
      <c r="A255" s="140" t="s">
        <v>241</v>
      </c>
      <c r="B255" s="129"/>
      <c r="K255" s="129">
        <v>927.06666666666672</v>
      </c>
    </row>
    <row r="256" spans="1:11" ht="14.4">
      <c r="A256" s="140" t="s">
        <v>242</v>
      </c>
      <c r="B256" s="129"/>
      <c r="K256" s="129">
        <v>0</v>
      </c>
    </row>
    <row r="257" spans="1:11" ht="14.4">
      <c r="A257" s="140" t="s">
        <v>243</v>
      </c>
      <c r="B257" s="151"/>
      <c r="K257" s="151">
        <v>0</v>
      </c>
    </row>
    <row r="258" spans="1:11" ht="14.4">
      <c r="A258" s="146" t="s">
        <v>244</v>
      </c>
      <c r="B258" s="134"/>
      <c r="K258" s="134">
        <f>K251+SUM(K255:K257)</f>
        <v>-17690.618033511822</v>
      </c>
    </row>
    <row r="259" spans="1:11" ht="14.4">
      <c r="A259" s="152" t="s">
        <v>6</v>
      </c>
      <c r="B259" s="148"/>
      <c r="K259" s="148">
        <f>K258/K224</f>
        <v>6.3732701690811124</v>
      </c>
    </row>
    <row r="260" spans="1:11" ht="14.4">
      <c r="A260" s="153"/>
      <c r="B260" s="138"/>
      <c r="K260" s="138"/>
    </row>
    <row r="261" spans="1:11" ht="14.4">
      <c r="A261" s="140" t="s">
        <v>245</v>
      </c>
      <c r="B261" s="129"/>
      <c r="K261" s="129">
        <v>496.91821947521396</v>
      </c>
    </row>
    <row r="262" spans="1:11" ht="14.4">
      <c r="A262" s="140" t="s">
        <v>246</v>
      </c>
      <c r="B262" s="129"/>
      <c r="K262" s="129"/>
    </row>
    <row r="263" spans="1:11" ht="14.4">
      <c r="A263" s="140" t="s">
        <v>247</v>
      </c>
      <c r="B263" s="129"/>
      <c r="K263" s="129">
        <f>K244</f>
        <v>-1667.3769621482606</v>
      </c>
    </row>
    <row r="264" spans="1:11" ht="14.4">
      <c r="A264" s="140" t="s">
        <v>248</v>
      </c>
      <c r="B264" s="129"/>
      <c r="K264" s="129">
        <f>K248</f>
        <v>-796.97317125585778</v>
      </c>
    </row>
    <row r="265" spans="1:11" ht="14.4">
      <c r="A265" s="140" t="s">
        <v>249</v>
      </c>
      <c r="B265" s="129"/>
      <c r="K265" s="129">
        <f>K249</f>
        <v>-2348.0360527856596</v>
      </c>
    </row>
    <row r="266" spans="1:11" ht="14.4">
      <c r="A266" s="140" t="s">
        <v>250</v>
      </c>
      <c r="B266" s="129"/>
      <c r="K266" s="129">
        <f>K250-K255</f>
        <v>-234.66671339331401</v>
      </c>
    </row>
    <row r="267" spans="1:11" ht="14.4">
      <c r="A267" s="146" t="s">
        <v>251</v>
      </c>
      <c r="B267" s="134"/>
      <c r="K267" s="134">
        <f>K258+SUM(K261:K266)</f>
        <v>-22240.752713619702</v>
      </c>
    </row>
    <row r="268" spans="1:11" ht="14.4">
      <c r="A268" s="152" t="s">
        <v>5</v>
      </c>
      <c r="B268" s="148"/>
      <c r="K268" s="148">
        <f>K267/K224</f>
        <v>8.0125140647493662</v>
      </c>
    </row>
    <row r="269" spans="1:11" ht="14.4">
      <c r="A269" s="153"/>
      <c r="B269" s="138"/>
      <c r="K269" s="138"/>
    </row>
    <row r="270" spans="1:11" ht="14.4">
      <c r="A270" s="140" t="s">
        <v>252</v>
      </c>
      <c r="B270" s="129"/>
      <c r="K270" s="129">
        <f>-K247</f>
        <v>1141.4952496484957</v>
      </c>
    </row>
    <row r="271" spans="1:11" ht="14.4">
      <c r="A271" s="140" t="s">
        <v>253</v>
      </c>
      <c r="B271" s="129"/>
      <c r="K271" s="129">
        <f>K216+K218-K222+K247</f>
        <v>-1217.2942009670051</v>
      </c>
    </row>
    <row r="272" spans="1:11" ht="14.4">
      <c r="A272" s="146" t="s">
        <v>254</v>
      </c>
      <c r="B272" s="134"/>
      <c r="K272" s="134">
        <f>K267+SUM(K270:K271)</f>
        <v>-22316.551664938212</v>
      </c>
    </row>
    <row r="273" spans="1:11" ht="14.4">
      <c r="A273" s="152" t="s">
        <v>255</v>
      </c>
      <c r="B273" s="148"/>
      <c r="K273" s="148">
        <f>K272/K224</f>
        <v>8.0398216011152961</v>
      </c>
    </row>
  </sheetData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5">
    <pageSetUpPr fitToPage="1"/>
  </sheetPr>
  <dimension ref="A1:AN57"/>
  <sheetViews>
    <sheetView showGridLines="0" tabSelected="1" zoomScale="90" zoomScaleNormal="90" workbookViewId="0">
      <pane xSplit="2" ySplit="2" topLeftCell="Q3" activePane="bottomRight" state="frozen"/>
      <selection activeCell="AE9" sqref="AE9"/>
      <selection pane="topRight" activeCell="AE9" sqref="AE9"/>
      <selection pane="bottomLeft" activeCell="AE9" sqref="AE9"/>
      <selection pane="bottomRight" activeCell="AH3" sqref="AH3"/>
    </sheetView>
  </sheetViews>
  <sheetFormatPr defaultColWidth="9.109375" defaultRowHeight="14.4" outlineLevelCol="1"/>
  <cols>
    <col min="1" max="1" width="41.5546875" style="4" bestFit="1" customWidth="1"/>
    <col min="2" max="2" width="14.88671875" style="4" customWidth="1"/>
    <col min="3" max="3" width="11.44140625" style="4" hidden="1" customWidth="1" outlineLevel="1"/>
    <col min="4" max="4" width="10.88671875" style="4" hidden="1" customWidth="1" outlineLevel="1"/>
    <col min="5" max="5" width="11.88671875" style="4" hidden="1" customWidth="1" outlineLevel="1"/>
    <col min="6" max="6" width="11" style="4" hidden="1" customWidth="1" outlineLevel="1"/>
    <col min="7" max="7" width="11.109375" style="4" hidden="1" customWidth="1" outlineLevel="1"/>
    <col min="8" max="8" width="11.44140625" style="4" hidden="1" customWidth="1" outlineLevel="1"/>
    <col min="9" max="10" width="11.109375" style="4" hidden="1" customWidth="1" outlineLevel="1"/>
    <col min="11" max="11" width="11.5546875" style="4" hidden="1" customWidth="1" outlineLevel="1"/>
    <col min="12" max="16" width="11.109375" style="4" hidden="1" customWidth="1" outlineLevel="1"/>
    <col min="17" max="17" width="9.5546875" style="30" customWidth="1" collapsed="1"/>
    <col min="18" max="18" width="10.109375" style="30" customWidth="1"/>
    <col min="19" max="19" width="10.88671875" style="65" customWidth="1"/>
    <col min="20" max="20" width="13" style="65" customWidth="1"/>
    <col min="21" max="21" width="8.88671875" customWidth="1"/>
    <col min="22" max="22" width="9.109375" customWidth="1"/>
    <col min="23" max="23" width="11" style="65" customWidth="1"/>
    <col min="24" max="24" width="10.5546875" style="66" customWidth="1"/>
    <col min="25" max="25" width="8.88671875" customWidth="1"/>
    <col min="26" max="26" width="9.109375" customWidth="1"/>
    <col min="27" max="27" width="11" style="65" customWidth="1"/>
    <col min="28" max="28" width="10.5546875" style="66" customWidth="1"/>
    <col min="29" max="29" width="8.88671875" hidden="1" customWidth="1"/>
    <col min="30" max="30" width="9.109375" hidden="1" customWidth="1"/>
    <col min="31" max="31" width="11" style="65" hidden="1" customWidth="1"/>
    <col min="32" max="32" width="10.5546875" style="66" hidden="1" customWidth="1"/>
    <col min="33" max="33" width="9.5546875" style="66" customWidth="1"/>
    <col min="34" max="34" width="11" style="66" bestFit="1" customWidth="1"/>
    <col min="35" max="35" width="12.88671875" style="65" bestFit="1" customWidth="1"/>
    <col min="36" max="36" width="10.5546875" style="66" customWidth="1"/>
    <col min="38" max="38" width="14.88671875" bestFit="1" customWidth="1"/>
    <col min="40" max="40" width="11.44140625" bestFit="1" customWidth="1"/>
  </cols>
  <sheetData>
    <row r="1" spans="1:40" ht="92.25" customHeight="1" thickBot="1"/>
    <row r="2" spans="1:40" ht="15.75" customHeight="1" thickBot="1">
      <c r="A2" s="322" t="s">
        <v>319</v>
      </c>
      <c r="B2" s="323"/>
      <c r="C2" s="355">
        <v>2011</v>
      </c>
      <c r="D2" s="355">
        <v>2012</v>
      </c>
      <c r="E2" s="355">
        <v>2013</v>
      </c>
      <c r="F2" s="355">
        <v>2014</v>
      </c>
      <c r="G2" s="355">
        <v>2015</v>
      </c>
      <c r="H2" s="355">
        <v>2016</v>
      </c>
      <c r="I2" s="355">
        <v>2017</v>
      </c>
      <c r="J2" s="355">
        <v>2018</v>
      </c>
      <c r="K2" s="355">
        <v>2019</v>
      </c>
      <c r="L2" s="355">
        <v>2020</v>
      </c>
      <c r="M2" s="355">
        <v>2021</v>
      </c>
      <c r="N2" s="355">
        <v>2022</v>
      </c>
      <c r="O2" s="355">
        <v>2023</v>
      </c>
      <c r="P2" s="355">
        <v>2024</v>
      </c>
      <c r="Q2" s="1" t="s">
        <v>499</v>
      </c>
      <c r="R2" s="1" t="s">
        <v>539</v>
      </c>
      <c r="S2" s="86" t="s">
        <v>0</v>
      </c>
      <c r="T2" s="87" t="s">
        <v>1</v>
      </c>
      <c r="U2" s="1" t="s">
        <v>500</v>
      </c>
      <c r="V2" s="1" t="s">
        <v>540</v>
      </c>
      <c r="W2" s="86" t="s">
        <v>0</v>
      </c>
      <c r="X2" s="87" t="s">
        <v>1</v>
      </c>
      <c r="Y2" s="1" t="s">
        <v>501</v>
      </c>
      <c r="Z2" s="1" t="s">
        <v>541</v>
      </c>
      <c r="AA2" s="86" t="s">
        <v>0</v>
      </c>
      <c r="AB2" s="87" t="s">
        <v>1</v>
      </c>
      <c r="AC2" s="1" t="s">
        <v>502</v>
      </c>
      <c r="AD2" s="1" t="s">
        <v>542</v>
      </c>
      <c r="AE2" s="86" t="s">
        <v>0</v>
      </c>
      <c r="AF2" s="87" t="s">
        <v>1</v>
      </c>
      <c r="AG2" s="1">
        <v>2024</v>
      </c>
      <c r="AH2" s="5">
        <v>2025</v>
      </c>
      <c r="AI2" s="86" t="s">
        <v>0</v>
      </c>
      <c r="AJ2" s="87" t="s">
        <v>1</v>
      </c>
    </row>
    <row r="3" spans="1:40" ht="15.75" customHeight="1">
      <c r="A3" s="324" t="s">
        <v>463</v>
      </c>
      <c r="B3" s="308"/>
      <c r="C3" s="356">
        <v>319857</v>
      </c>
      <c r="D3" s="357">
        <v>377133</v>
      </c>
      <c r="E3" s="357">
        <v>522864.00000000006</v>
      </c>
      <c r="F3" s="358">
        <v>501556</v>
      </c>
      <c r="G3" s="358">
        <v>491434</v>
      </c>
      <c r="H3" s="359">
        <v>443621.99999999994</v>
      </c>
      <c r="I3" s="358">
        <v>412361</v>
      </c>
      <c r="J3" s="358">
        <v>363499.73664000002</v>
      </c>
      <c r="K3" s="358">
        <v>378366.44312000007</v>
      </c>
      <c r="L3" s="358">
        <v>285105.17800999974</v>
      </c>
      <c r="M3" s="379">
        <v>350920.30887999985</v>
      </c>
      <c r="N3" s="379">
        <v>400492.21608000016</v>
      </c>
      <c r="O3" s="379">
        <v>395830.8989400001</v>
      </c>
      <c r="P3" s="379">
        <v>464305.99811000022</v>
      </c>
      <c r="Q3" s="22">
        <v>79292.526190000164</v>
      </c>
      <c r="R3" s="23">
        <v>101709.90540000009</v>
      </c>
      <c r="S3" s="55">
        <f>IFERROR(R3/Q3-1,0)</f>
        <v>0.28271742984053216</v>
      </c>
      <c r="T3" s="56">
        <f>R3-Q3</f>
        <v>22417.379209999926</v>
      </c>
      <c r="U3" s="23">
        <v>115372.0721899999</v>
      </c>
      <c r="V3" s="23">
        <v>142959.81141000046</v>
      </c>
      <c r="W3" s="55">
        <f>IFERROR(V3/U3-1,0)</f>
        <v>0.2391197340597977</v>
      </c>
      <c r="X3" s="56">
        <f>V3-U3</f>
        <v>27587.739220000556</v>
      </c>
      <c r="Y3" s="23">
        <v>109698.66213000029</v>
      </c>
      <c r="Z3" s="23">
        <v>127043.65335999918</v>
      </c>
      <c r="AA3" s="55">
        <f>Z3/Y3-1</f>
        <v>0.15811488393034279</v>
      </c>
      <c r="AB3" s="92">
        <f>Z3-Y3</f>
        <v>17344.991229998894</v>
      </c>
      <c r="AC3" s="23">
        <v>159942.73759999988</v>
      </c>
      <c r="AD3" s="23"/>
      <c r="AE3" s="55">
        <f>AD3/AC3-1</f>
        <v>-1</v>
      </c>
      <c r="AF3" s="92">
        <f>AD3-AC3</f>
        <v>-159942.73759999988</v>
      </c>
      <c r="AG3" s="23">
        <f>Q3+U3+Y3</f>
        <v>304363.26051000034</v>
      </c>
      <c r="AH3" s="23">
        <f t="shared" ref="AH3:AH6" si="0">R3+V3+Z3+AD3</f>
        <v>371713.37016999972</v>
      </c>
      <c r="AI3" s="55">
        <f>IFERROR(AH3/AG3-1,0)</f>
        <v>0.22128199555736616</v>
      </c>
      <c r="AJ3" s="92">
        <f>AH3-AG3</f>
        <v>67350.109659999376</v>
      </c>
    </row>
    <row r="4" spans="1:40" ht="15.75" customHeight="1">
      <c r="A4" s="326" t="s">
        <v>464</v>
      </c>
      <c r="B4" s="326"/>
      <c r="C4" s="360">
        <v>-11633</v>
      </c>
      <c r="D4" s="360">
        <v>-9958.2513770875557</v>
      </c>
      <c r="E4" s="360">
        <v>-14437.999999999904</v>
      </c>
      <c r="F4" s="23">
        <v>-17795</v>
      </c>
      <c r="G4" s="23">
        <v>-22046</v>
      </c>
      <c r="H4" s="360">
        <v>-19637.999999999996</v>
      </c>
      <c r="I4" s="23">
        <v>-12442.999999999998</v>
      </c>
      <c r="J4" s="23">
        <v>-7305</v>
      </c>
      <c r="K4" s="23">
        <v>-7481.9999999999991</v>
      </c>
      <c r="L4" s="23">
        <v>-4070.1846299999902</v>
      </c>
      <c r="M4" s="23">
        <v>-5877.2233299999998</v>
      </c>
      <c r="N4" s="23">
        <v>-14678.83246</v>
      </c>
      <c r="O4" s="23">
        <v>-15562.611319999996</v>
      </c>
      <c r="P4" s="23">
        <v>-15601.996949999961</v>
      </c>
      <c r="Q4" s="23">
        <v>-2770.1835099999603</v>
      </c>
      <c r="R4" s="23">
        <v>-4130.0273100000013</v>
      </c>
      <c r="S4" s="57">
        <f t="shared" ref="S4:S6" si="1">IFERROR(R4/Q4-1,0)</f>
        <v>0.49088581860775737</v>
      </c>
      <c r="T4" s="58">
        <f>R4-Q4</f>
        <v>-1359.843800000041</v>
      </c>
      <c r="U4" s="23">
        <v>-3650.3195100000003</v>
      </c>
      <c r="V4" s="23">
        <v>-6107.9599799999987</v>
      </c>
      <c r="W4" s="57">
        <f t="shared" ref="W4:W6" si="2">IFERROR(V4/U4-1,0)</f>
        <v>0.67326722038093534</v>
      </c>
      <c r="X4" s="58">
        <f>V4-U4</f>
        <v>-2457.6404699999985</v>
      </c>
      <c r="Y4" s="23">
        <v>-3428.5268199999991</v>
      </c>
      <c r="Z4" s="23">
        <v>-5627.4092299999993</v>
      </c>
      <c r="AA4" s="57">
        <f>Z4/Y4-1</f>
        <v>0.6413490474022312</v>
      </c>
      <c r="AB4" s="91">
        <f>Z4-Y4</f>
        <v>-2198.8824100000002</v>
      </c>
      <c r="AC4" s="23">
        <v>-5752.9671100000005</v>
      </c>
      <c r="AD4" s="23"/>
      <c r="AE4" s="57">
        <f>AD4/AC4-1</f>
        <v>-1</v>
      </c>
      <c r="AF4" s="91">
        <f>AD4-AC4</f>
        <v>5752.9671100000005</v>
      </c>
      <c r="AG4" s="23">
        <f>Q4+U4+Y4</f>
        <v>-9849.0298399999592</v>
      </c>
      <c r="AH4" s="23">
        <f t="shared" si="0"/>
        <v>-15865.39652</v>
      </c>
      <c r="AI4" s="57">
        <f t="shared" ref="AI4:AI6" si="3">IFERROR(AH4/AG4-1,0)</f>
        <v>0.61085881327780256</v>
      </c>
      <c r="AJ4" s="91">
        <f>AH4-AG4</f>
        <v>-6016.366680000041</v>
      </c>
    </row>
    <row r="5" spans="1:40" ht="15.75" customHeight="1">
      <c r="A5" s="325" t="s">
        <v>465</v>
      </c>
      <c r="B5" s="326"/>
      <c r="C5" s="359">
        <v>-47935</v>
      </c>
      <c r="D5" s="359">
        <v>-55935.611050000007</v>
      </c>
      <c r="E5" s="359">
        <v>-76839</v>
      </c>
      <c r="F5" s="358">
        <v>-72963</v>
      </c>
      <c r="G5" s="358">
        <v>-75586</v>
      </c>
      <c r="H5" s="359">
        <v>-65951.316800000001</v>
      </c>
      <c r="I5" s="358">
        <v>-61605</v>
      </c>
      <c r="J5" s="358">
        <v>-51514.476329999998</v>
      </c>
      <c r="K5" s="358">
        <v>-55731.880619999996</v>
      </c>
      <c r="L5" s="358">
        <v>-36955.979920000027</v>
      </c>
      <c r="M5" s="358">
        <v>-31144.227900000031</v>
      </c>
      <c r="N5" s="358">
        <v>-35852.520007156549</v>
      </c>
      <c r="O5" s="358">
        <v>-39207.958490926401</v>
      </c>
      <c r="P5" s="358">
        <v>-49932.785479999962</v>
      </c>
      <c r="Q5" s="23">
        <v>-8022.9815700000199</v>
      </c>
      <c r="R5" s="23">
        <v>-11309.893989999911</v>
      </c>
      <c r="S5" s="57">
        <f t="shared" si="1"/>
        <v>0.4096871457726512</v>
      </c>
      <c r="T5" s="91">
        <f>R5-Q5</f>
        <v>-3286.9124199998914</v>
      </c>
      <c r="U5" s="23">
        <v>-12523.08535000001</v>
      </c>
      <c r="V5" s="23">
        <v>-15529.198859999906</v>
      </c>
      <c r="W5" s="57">
        <f t="shared" si="2"/>
        <v>0.24004575757362323</v>
      </c>
      <c r="X5" s="91">
        <f>V5-U5</f>
        <v>-3006.1135099998955</v>
      </c>
      <c r="Y5" s="23">
        <v>-11916.627279999957</v>
      </c>
      <c r="Z5" s="23">
        <v>-14133.624300000029</v>
      </c>
      <c r="AA5" s="62">
        <f>Z5/Y5-1</f>
        <v>0.18604232287443656</v>
      </c>
      <c r="AB5" s="91">
        <f>Z5-Y5</f>
        <v>-2216.9970200000716</v>
      </c>
      <c r="AC5" s="23">
        <v>-17470.091279999975</v>
      </c>
      <c r="AD5" s="23"/>
      <c r="AE5" s="62">
        <f>AD5/AC5-1</f>
        <v>-1</v>
      </c>
      <c r="AF5" s="91">
        <f>AD5-AC5</f>
        <v>17470.091279999975</v>
      </c>
      <c r="AG5" s="23">
        <f>Q5+U5+Y5</f>
        <v>-32462.694199999987</v>
      </c>
      <c r="AH5" s="23">
        <f t="shared" si="0"/>
        <v>-40972.717149999851</v>
      </c>
      <c r="AI5" s="62">
        <f t="shared" si="3"/>
        <v>0.26214777176442339</v>
      </c>
      <c r="AJ5" s="91">
        <f>AH5-AG5</f>
        <v>-8510.0229499998641</v>
      </c>
    </row>
    <row r="6" spans="1:40" ht="15.75" customHeight="1">
      <c r="A6" s="326" t="s">
        <v>466</v>
      </c>
      <c r="B6" s="326"/>
      <c r="C6" s="360">
        <v>1741</v>
      </c>
      <c r="D6" s="361">
        <v>1476</v>
      </c>
      <c r="E6" s="361">
        <v>2108.8207414252761</v>
      </c>
      <c r="F6" s="23">
        <v>2635</v>
      </c>
      <c r="G6" s="23">
        <v>3491</v>
      </c>
      <c r="H6" s="361">
        <v>2840.2909403039739</v>
      </c>
      <c r="I6" s="23">
        <v>1763</v>
      </c>
      <c r="J6" s="23">
        <v>1015.9153952451331</v>
      </c>
      <c r="K6" s="23">
        <v>1073.7133717070067</v>
      </c>
      <c r="L6" s="23">
        <v>528.36904886796685</v>
      </c>
      <c r="M6" s="23">
        <v>502.82026416959491</v>
      </c>
      <c r="N6" s="23">
        <v>1270.7352007543432</v>
      </c>
      <c r="O6" s="23">
        <v>1286.468590999018</v>
      </c>
      <c r="P6" s="23">
        <v>1508.7962626366023</v>
      </c>
      <c r="Q6" s="24">
        <v>267.08910710588816</v>
      </c>
      <c r="R6" s="23">
        <v>410.75303554445202</v>
      </c>
      <c r="S6" s="57">
        <f t="shared" si="1"/>
        <v>0.53788763606000578</v>
      </c>
      <c r="T6" s="91">
        <f>R6-Q6</f>
        <v>143.66392843856386</v>
      </c>
      <c r="U6" s="23">
        <v>357.12938800265817</v>
      </c>
      <c r="V6" s="23">
        <v>590.59385057222562</v>
      </c>
      <c r="W6" s="57">
        <f t="shared" si="2"/>
        <v>0.65372514951872218</v>
      </c>
      <c r="X6" s="91">
        <f>V6-U6</f>
        <v>233.46446256956744</v>
      </c>
      <c r="Y6" s="23">
        <v>330.39832271768512</v>
      </c>
      <c r="Z6" s="23">
        <v>546.17593972096006</v>
      </c>
      <c r="AA6" s="57">
        <f>Z6/Y6-1</f>
        <v>0.6530832700008895</v>
      </c>
      <c r="AB6" s="91">
        <f>Z6-Y6</f>
        <v>215.77761700327494</v>
      </c>
      <c r="AC6" s="23">
        <v>554.1794448103708</v>
      </c>
      <c r="AD6" s="23"/>
      <c r="AE6" s="57">
        <f>AD6/AC6-1</f>
        <v>-1</v>
      </c>
      <c r="AF6" s="91">
        <f>AD6-AC6</f>
        <v>-554.1794448103708</v>
      </c>
      <c r="AG6" s="23">
        <f>Q6+U6+Y6</f>
        <v>954.61681782623145</v>
      </c>
      <c r="AH6" s="23">
        <f t="shared" si="0"/>
        <v>1547.5228258376378</v>
      </c>
      <c r="AI6" s="57">
        <f t="shared" si="3"/>
        <v>0.621093193561705</v>
      </c>
      <c r="AJ6" s="91">
        <f>AH6-AG6</f>
        <v>592.90600801140636</v>
      </c>
    </row>
    <row r="7" spans="1:40" ht="15.75" customHeight="1">
      <c r="A7" s="325"/>
      <c r="B7" s="326"/>
      <c r="C7" s="362"/>
      <c r="D7" s="361"/>
      <c r="E7" s="361"/>
      <c r="F7" s="363"/>
      <c r="G7" s="363"/>
      <c r="H7" s="361"/>
      <c r="I7" s="363"/>
      <c r="J7" s="363"/>
      <c r="K7" s="26"/>
      <c r="L7" s="26"/>
      <c r="M7" s="26"/>
      <c r="N7" s="26"/>
      <c r="O7" s="26"/>
      <c r="P7" s="26"/>
      <c r="Q7" s="24"/>
      <c r="R7" s="26"/>
      <c r="S7" s="59"/>
      <c r="T7" s="58"/>
      <c r="U7" s="7"/>
      <c r="V7" s="23"/>
      <c r="W7" s="59"/>
      <c r="X7" s="58"/>
      <c r="Y7" s="7"/>
      <c r="Z7" s="23"/>
      <c r="AA7" s="59"/>
      <c r="AB7" s="58"/>
      <c r="AC7" s="7"/>
      <c r="AD7" s="23"/>
      <c r="AE7" s="59"/>
      <c r="AF7" s="58"/>
      <c r="AG7" s="24"/>
      <c r="AH7" s="24"/>
      <c r="AI7" s="59"/>
      <c r="AJ7" s="58"/>
    </row>
    <row r="8" spans="1:40" ht="15.75" customHeight="1">
      <c r="A8" s="309" t="s">
        <v>467</v>
      </c>
      <c r="B8" s="310"/>
      <c r="C8" s="364">
        <f>SUM(C3:C6)</f>
        <v>262030</v>
      </c>
      <c r="D8" s="364">
        <f t="shared" ref="D8:L8" si="4">SUM(D3:D6)</f>
        <v>312715.13757291244</v>
      </c>
      <c r="E8" s="364">
        <f t="shared" si="4"/>
        <v>433695.82074142544</v>
      </c>
      <c r="F8" s="364">
        <f t="shared" si="4"/>
        <v>413433</v>
      </c>
      <c r="G8" s="364">
        <f t="shared" si="4"/>
        <v>397293</v>
      </c>
      <c r="H8" s="364">
        <f t="shared" si="4"/>
        <v>360872.97414030397</v>
      </c>
      <c r="I8" s="364">
        <f t="shared" si="4"/>
        <v>340076</v>
      </c>
      <c r="J8" s="364">
        <f t="shared" si="4"/>
        <v>305696.17570524517</v>
      </c>
      <c r="K8" s="364">
        <f t="shared" si="4"/>
        <v>316226.27587170707</v>
      </c>
      <c r="L8" s="364">
        <f t="shared" si="4"/>
        <v>244607.38250886771</v>
      </c>
      <c r="M8" s="364">
        <v>314401.67791416938</v>
      </c>
      <c r="N8" s="364">
        <v>351231.17873447796</v>
      </c>
      <c r="O8" s="364">
        <v>342346.79772007267</v>
      </c>
      <c r="P8" s="364">
        <v>400280.01194263692</v>
      </c>
      <c r="Q8" s="8">
        <v>68766.450217106074</v>
      </c>
      <c r="R8" s="8">
        <f>SUM(R3:R6)</f>
        <v>86680.737135544623</v>
      </c>
      <c r="S8" s="60">
        <f>IFERROR(R8/Q8-1,0)</f>
        <v>0.26050911253787912</v>
      </c>
      <c r="T8" s="61">
        <f>R8-Q8</f>
        <v>17914.286918438549</v>
      </c>
      <c r="U8" s="8">
        <v>99555.796718002559</v>
      </c>
      <c r="V8" s="8">
        <v>121913.2464205728</v>
      </c>
      <c r="W8" s="60">
        <f>IFERROR(V8/U8-1,0)</f>
        <v>0.22457205345761011</v>
      </c>
      <c r="X8" s="61">
        <f>V8-U8</f>
        <v>22357.449702570244</v>
      </c>
      <c r="Y8" s="8">
        <v>94683.906352718011</v>
      </c>
      <c r="Z8" s="8">
        <v>107828.79576972011</v>
      </c>
      <c r="AA8" s="60">
        <f>IFERROR(Z8/Y8-1,0)</f>
        <v>0.13882918357882845</v>
      </c>
      <c r="AB8" s="90">
        <f>Z8-Y8</f>
        <v>13144.889417002094</v>
      </c>
      <c r="AC8" s="8">
        <v>137273.85865481029</v>
      </c>
      <c r="AD8" s="8"/>
      <c r="AE8" s="60">
        <f>IFERROR(AD8/AC8-1,0)</f>
        <v>-1</v>
      </c>
      <c r="AF8" s="90">
        <f>AD8-AC8</f>
        <v>-137273.85865481029</v>
      </c>
      <c r="AG8" s="8">
        <f>SUM(AG3:AG6)</f>
        <v>263006.15328782663</v>
      </c>
      <c r="AH8" s="8">
        <f>SUM(AH3:AH6)</f>
        <v>316422.7793258375</v>
      </c>
      <c r="AI8" s="60">
        <f>IFERROR(AH8/AG8-1,0)</f>
        <v>0.20310029012725495</v>
      </c>
      <c r="AJ8" s="90">
        <f>AH8-AG8</f>
        <v>53416.626038010872</v>
      </c>
    </row>
    <row r="9" spans="1:40" ht="15.75" customHeight="1">
      <c r="A9" s="325"/>
      <c r="B9" s="326"/>
      <c r="C9" s="361"/>
      <c r="D9" s="361"/>
      <c r="E9" s="361"/>
      <c r="F9" s="363"/>
      <c r="G9" s="363"/>
      <c r="H9" s="361"/>
      <c r="I9" s="23"/>
      <c r="J9" s="23"/>
      <c r="K9" s="23"/>
      <c r="L9" s="23"/>
      <c r="M9" s="23">
        <v>-149226</v>
      </c>
      <c r="N9" s="23">
        <v>-160681.56247817609</v>
      </c>
      <c r="O9" s="23">
        <v>-152966.6</v>
      </c>
      <c r="P9" s="23">
        <v>-181429.78467159776</v>
      </c>
      <c r="Q9" s="24">
        <v>-32255.511874753272</v>
      </c>
      <c r="R9" s="23">
        <v>-40382.507390318206</v>
      </c>
      <c r="S9" s="57"/>
      <c r="T9" s="91"/>
      <c r="U9" s="391">
        <v>-44816.572934528791</v>
      </c>
      <c r="V9" s="23">
        <v>-53984.994090898603</v>
      </c>
      <c r="W9" s="57"/>
      <c r="X9" s="91"/>
      <c r="Y9" s="391">
        <v>-42186.913980994403</v>
      </c>
      <c r="Z9" s="23">
        <f>-48754.9350319047+1</f>
        <v>-48753.935031904701</v>
      </c>
      <c r="AA9" s="59"/>
      <c r="AB9" s="58"/>
      <c r="AC9" s="339">
        <v>-62170.78588132131</v>
      </c>
      <c r="AD9" s="23"/>
      <c r="AE9" s="59"/>
      <c r="AF9" s="58">
        <f>AD9-AC9</f>
        <v>62170.78588132131</v>
      </c>
      <c r="AG9" s="23">
        <f>Q9+U9+Y9</f>
        <v>-119258.99879027647</v>
      </c>
      <c r="AH9" s="23">
        <f>R9+V9+Z9+AD9</f>
        <v>-143121.4365131215</v>
      </c>
      <c r="AI9" s="59"/>
      <c r="AJ9" s="58"/>
      <c r="AL9" s="398"/>
    </row>
    <row r="10" spans="1:40" ht="15.75" customHeight="1">
      <c r="A10" s="309" t="s">
        <v>2</v>
      </c>
      <c r="B10" s="310"/>
      <c r="C10" s="365">
        <v>166166</v>
      </c>
      <c r="D10" s="365">
        <v>187928</v>
      </c>
      <c r="E10" s="365">
        <v>250774</v>
      </c>
      <c r="F10" s="8">
        <v>229802</v>
      </c>
      <c r="G10" s="8">
        <v>206778</v>
      </c>
      <c r="H10" s="365">
        <v>169579.97414030397</v>
      </c>
      <c r="I10" s="8">
        <v>155073</v>
      </c>
      <c r="J10" s="8">
        <v>146658.17570524517</v>
      </c>
      <c r="K10" s="8">
        <v>109243</v>
      </c>
      <c r="L10" s="8">
        <v>112399</v>
      </c>
      <c r="M10" s="8">
        <v>165175.67791416938</v>
      </c>
      <c r="N10" s="8">
        <v>190549.61625630187</v>
      </c>
      <c r="O10" s="8">
        <v>189380.19772007267</v>
      </c>
      <c r="P10" s="8">
        <v>218850.22727103916</v>
      </c>
      <c r="Q10" s="8">
        <v>36510.938342352805</v>
      </c>
      <c r="R10" s="8">
        <f>R8+R9</f>
        <v>46298.229745226417</v>
      </c>
      <c r="S10" s="60">
        <f>IFERROR(R10/Q10-1,0)</f>
        <v>0.26806463616741194</v>
      </c>
      <c r="T10" s="90">
        <f>R10-Q10</f>
        <v>9787.2914028736122</v>
      </c>
      <c r="U10" s="8">
        <v>54739.223783473768</v>
      </c>
      <c r="V10" s="8">
        <v>67928.2523296742</v>
      </c>
      <c r="W10" s="60">
        <f>IFERROR(V10/U10-1,0)</f>
        <v>0.24094292236168524</v>
      </c>
      <c r="X10" s="90">
        <f>V10-U10</f>
        <v>13189.028546200432</v>
      </c>
      <c r="Y10" s="8">
        <v>52496.992371723609</v>
      </c>
      <c r="Z10" s="8">
        <f>SUM(Z8:Z9)</f>
        <v>59074.860737815405</v>
      </c>
      <c r="AA10" s="60">
        <f>Z10/Y10-1</f>
        <v>0.12529990898363974</v>
      </c>
      <c r="AB10" s="90">
        <f>Z10-Y10</f>
        <v>6577.8683660917959</v>
      </c>
      <c r="AC10" s="8">
        <v>75103.072773488981</v>
      </c>
      <c r="AD10" s="8"/>
      <c r="AE10" s="60">
        <f>AD10/AC10-1</f>
        <v>-1</v>
      </c>
      <c r="AF10" s="90">
        <f>AD10-AC10</f>
        <v>-75103.072773488981</v>
      </c>
      <c r="AG10" s="8">
        <f>SUM(AG8:AG9)</f>
        <v>143747.15449755016</v>
      </c>
      <c r="AH10" s="8">
        <f>SUM(AH8:AH9)</f>
        <v>173301.342812716</v>
      </c>
      <c r="AI10" s="60">
        <f>IFERROR(AH10/AG10-1,0)</f>
        <v>0.20559842327640321</v>
      </c>
      <c r="AJ10" s="90">
        <f>AH10-AG10</f>
        <v>29554.18831516584</v>
      </c>
      <c r="AL10" s="398"/>
    </row>
    <row r="11" spans="1:40" ht="15.75" customHeight="1">
      <c r="A11" s="311" t="s">
        <v>4</v>
      </c>
      <c r="B11" s="311"/>
      <c r="C11" s="9">
        <f>C10/C8</f>
        <v>0.63414876159218414</v>
      </c>
      <c r="D11" s="9">
        <f t="shared" ref="D11:L11" si="5">D10/D8</f>
        <v>0.60095587779527571</v>
      </c>
      <c r="E11" s="9">
        <f t="shared" si="5"/>
        <v>0.57822553966807633</v>
      </c>
      <c r="F11" s="9">
        <f t="shared" si="5"/>
        <v>0.55583855183306607</v>
      </c>
      <c r="G11" s="9">
        <f t="shared" si="5"/>
        <v>0.52046726219691763</v>
      </c>
      <c r="H11" s="9">
        <f t="shared" si="5"/>
        <v>0.46991597124802392</v>
      </c>
      <c r="I11" s="9">
        <f t="shared" si="5"/>
        <v>0.4559951305002411</v>
      </c>
      <c r="J11" s="9">
        <f t="shared" si="5"/>
        <v>0.47975142432483103</v>
      </c>
      <c r="K11" s="9">
        <f t="shared" si="5"/>
        <v>0.3454583263166906</v>
      </c>
      <c r="L11" s="9">
        <f t="shared" si="5"/>
        <v>0.45950779918069407</v>
      </c>
      <c r="M11" s="9">
        <v>0.52536512848783778</v>
      </c>
      <c r="N11" s="9">
        <v>0.54251908085971101</v>
      </c>
      <c r="O11" s="9">
        <v>0.55318232558706015</v>
      </c>
      <c r="P11" s="9">
        <v>0.54674283187141004</v>
      </c>
      <c r="Q11" s="9">
        <v>0.53094115265630637</v>
      </c>
      <c r="R11" s="9">
        <f t="shared" ref="R11" si="6">R10/R8</f>
        <v>0.53412362740788455</v>
      </c>
      <c r="S11" s="9"/>
      <c r="T11" s="53">
        <f>(R11-Q11)*100</f>
        <v>0.31824747515781793</v>
      </c>
      <c r="U11" s="9">
        <v>0.54983462126796823</v>
      </c>
      <c r="V11" s="9">
        <v>0.55718516505858007</v>
      </c>
      <c r="W11" s="9"/>
      <c r="X11" s="53">
        <f>(V11-U11)*100</f>
        <v>0.73505437906118409</v>
      </c>
      <c r="Y11" s="9">
        <v>0.55444472449373783</v>
      </c>
      <c r="Z11" s="9">
        <v>0.54784865504733948</v>
      </c>
      <c r="AA11" s="9"/>
      <c r="AB11" s="53">
        <f>(Z11-Y11)*100</f>
        <v>-0.65960694463983449</v>
      </c>
      <c r="AC11" s="9">
        <v>0.54710396800561745</v>
      </c>
      <c r="AD11" s="9"/>
      <c r="AE11" s="9"/>
      <c r="AF11" s="53">
        <f>(AD11-AC11)*100</f>
        <v>-54.710396800561746</v>
      </c>
      <c r="AG11" s="9">
        <f>AG10/AG8</f>
        <v>0.54655433989119362</v>
      </c>
      <c r="AH11" s="9">
        <f>AH10/AH8</f>
        <v>0.54768921245792579</v>
      </c>
      <c r="AI11" s="9"/>
      <c r="AJ11" s="53">
        <f>(AH11-AG11)*100</f>
        <v>0.11348725667321702</v>
      </c>
      <c r="AK11" s="296"/>
      <c r="AL11" s="296"/>
    </row>
    <row r="12" spans="1:40">
      <c r="A12" s="325"/>
      <c r="B12" s="326"/>
      <c r="C12" s="361"/>
      <c r="D12" s="361"/>
      <c r="E12" s="361"/>
      <c r="F12" s="363"/>
      <c r="G12" s="42"/>
      <c r="H12" s="25"/>
      <c r="I12" s="363"/>
      <c r="J12" s="363"/>
      <c r="K12" s="25"/>
      <c r="L12" s="25"/>
      <c r="M12" s="25"/>
      <c r="N12" s="25"/>
      <c r="O12" s="25"/>
      <c r="P12" s="25"/>
      <c r="Q12" s="25"/>
      <c r="R12" s="25"/>
      <c r="S12" s="59"/>
      <c r="T12" s="58"/>
      <c r="U12" s="42"/>
      <c r="V12" s="23"/>
      <c r="W12" s="59"/>
      <c r="X12" s="58"/>
      <c r="Y12" s="42"/>
      <c r="Z12" s="23"/>
      <c r="AA12" s="57"/>
      <c r="AB12" s="58"/>
      <c r="AC12" s="42"/>
      <c r="AD12" s="23"/>
      <c r="AE12" s="57"/>
      <c r="AF12" s="58"/>
      <c r="AG12" s="24"/>
      <c r="AH12" s="24"/>
      <c r="AI12" s="57"/>
      <c r="AJ12" s="58"/>
      <c r="AL12" s="296"/>
      <c r="AN12" s="354"/>
    </row>
    <row r="13" spans="1:40" ht="15.75" customHeight="1">
      <c r="A13" s="309" t="s">
        <v>52</v>
      </c>
      <c r="B13" s="310"/>
      <c r="C13" s="365">
        <v>-69788</v>
      </c>
      <c r="D13" s="365">
        <v>-87861</v>
      </c>
      <c r="E13" s="365">
        <v>-132846</v>
      </c>
      <c r="F13" s="8">
        <v>-118936</v>
      </c>
      <c r="G13" s="8">
        <v>-129581</v>
      </c>
      <c r="H13" s="365">
        <v>-124091</v>
      </c>
      <c r="I13" s="8">
        <v>-132676</v>
      </c>
      <c r="J13" s="8">
        <v>-95945</v>
      </c>
      <c r="K13" s="8">
        <v>-103839</v>
      </c>
      <c r="L13" s="8">
        <v>-63578</v>
      </c>
      <c r="M13" s="8">
        <v>-69425</v>
      </c>
      <c r="N13" s="8">
        <v>-84225</v>
      </c>
      <c r="O13" s="8">
        <v>-88623</v>
      </c>
      <c r="P13" s="8">
        <v>-105589.26373000005</v>
      </c>
      <c r="Q13" s="8">
        <v>-21942</v>
      </c>
      <c r="R13" s="8">
        <v>-26835</v>
      </c>
      <c r="S13" s="60">
        <f>IFERROR(R13/Q13-1,0)</f>
        <v>0.22299699207000279</v>
      </c>
      <c r="T13" s="90">
        <f>R13-Q13</f>
        <v>-4893</v>
      </c>
      <c r="U13" s="8">
        <v>-25880</v>
      </c>
      <c r="V13" s="8">
        <v>-29347</v>
      </c>
      <c r="W13" s="60">
        <f>IFERROR(V13/U13-1,0)</f>
        <v>0.13396445131375589</v>
      </c>
      <c r="X13" s="90">
        <f>V13-U13</f>
        <v>-3467</v>
      </c>
      <c r="Y13" s="8">
        <v>-27728</v>
      </c>
      <c r="Z13" s="8">
        <f>AH13-R13-V13</f>
        <v>-30071</v>
      </c>
      <c r="AA13" s="60">
        <f>Z13/Y13-1</f>
        <v>8.4499422965955029E-2</v>
      </c>
      <c r="AB13" s="90">
        <f>Z13-Y13</f>
        <v>-2343</v>
      </c>
      <c r="AC13" s="8">
        <v>-30039.26373000005</v>
      </c>
      <c r="AD13" s="8"/>
      <c r="AE13" s="60">
        <f>AD13/AC13-1</f>
        <v>-1</v>
      </c>
      <c r="AF13" s="90">
        <f>AD13-AC13</f>
        <v>30039.26373000005</v>
      </c>
      <c r="AG13" s="8">
        <f>Q13+U13+Y13</f>
        <v>-75550</v>
      </c>
      <c r="AH13" s="8">
        <f>[1]DRE!$J$11</f>
        <v>-86253</v>
      </c>
      <c r="AI13" s="60">
        <f>IFERROR(AH13/AG13-1,0)</f>
        <v>0.14166776968894768</v>
      </c>
      <c r="AJ13" s="90">
        <f>AH13-AG13</f>
        <v>-10703</v>
      </c>
      <c r="AK13" s="296"/>
      <c r="AL13" s="296"/>
      <c r="AM13" s="382"/>
      <c r="AN13" s="381"/>
    </row>
    <row r="14" spans="1:40" ht="15.75" customHeight="1">
      <c r="A14" s="309" t="s">
        <v>468</v>
      </c>
      <c r="B14" s="310"/>
      <c r="C14" s="365"/>
      <c r="D14" s="365"/>
      <c r="E14" s="365"/>
      <c r="F14" s="8"/>
      <c r="G14" s="8"/>
      <c r="H14" s="8"/>
      <c r="I14" s="8">
        <v>-0.39013632246909513</v>
      </c>
      <c r="J14" s="8">
        <v>-13287</v>
      </c>
      <c r="K14" s="8">
        <v>-3828</v>
      </c>
      <c r="L14" s="8">
        <v>-14704</v>
      </c>
      <c r="M14" s="8">
        <v>-784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60">
        <f>IFERROR(R14/Q14-1,0)</f>
        <v>0</v>
      </c>
      <c r="T14" s="90"/>
      <c r="U14" s="8">
        <v>0</v>
      </c>
      <c r="V14" s="8">
        <v>0</v>
      </c>
      <c r="W14" s="60">
        <f>IFERROR(V14/U14-1,0)</f>
        <v>0</v>
      </c>
      <c r="X14" s="90"/>
      <c r="Y14" s="8">
        <v>0</v>
      </c>
      <c r="Z14" s="8">
        <v>0</v>
      </c>
      <c r="AA14" s="60" t="e">
        <f>Z14/Y14-1</f>
        <v>#DIV/0!</v>
      </c>
      <c r="AB14" s="90">
        <f>Z14-Y14</f>
        <v>0</v>
      </c>
      <c r="AC14" s="8"/>
      <c r="AD14" s="8"/>
      <c r="AE14" s="60" t="e">
        <f>AD14/AC14-1</f>
        <v>#DIV/0!</v>
      </c>
      <c r="AF14" s="90">
        <f>AD14-AC14</f>
        <v>0</v>
      </c>
      <c r="AG14" s="8">
        <f t="shared" ref="AG14" si="7">Q14+U14</f>
        <v>0</v>
      </c>
      <c r="AH14" s="8">
        <v>0</v>
      </c>
      <c r="AI14" s="60">
        <f>IFERROR(AH14/AG14-1,0)</f>
        <v>0</v>
      </c>
      <c r="AJ14" s="90"/>
      <c r="AN14" s="354"/>
    </row>
    <row r="15" spans="1:40" ht="15.75" hidden="1" customHeight="1">
      <c r="A15" s="309" t="s">
        <v>469</v>
      </c>
      <c r="B15" s="310"/>
      <c r="C15" s="365"/>
      <c r="D15" s="365"/>
      <c r="E15" s="365"/>
      <c r="F15" s="8"/>
      <c r="G15" s="8"/>
      <c r="H15" s="8"/>
      <c r="I15" s="8"/>
      <c r="J15" s="8">
        <v>-4310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/>
      <c r="R15" s="8"/>
      <c r="S15" s="60"/>
      <c r="T15" s="90"/>
      <c r="U15" s="8"/>
      <c r="V15" s="8"/>
      <c r="W15" s="60"/>
      <c r="X15" s="90"/>
      <c r="Y15" s="8"/>
      <c r="Z15" s="8"/>
      <c r="AA15" s="60"/>
      <c r="AB15" s="90"/>
      <c r="AC15" s="8"/>
      <c r="AD15" s="8"/>
      <c r="AE15" s="60"/>
      <c r="AF15" s="90"/>
      <c r="AG15" s="8">
        <f>0</f>
        <v>0</v>
      </c>
      <c r="AH15" s="8">
        <f>0</f>
        <v>0</v>
      </c>
      <c r="AI15" s="60"/>
      <c r="AJ15" s="90"/>
      <c r="AN15" s="354"/>
    </row>
    <row r="16" spans="1:40">
      <c r="A16" s="312" t="s">
        <v>470</v>
      </c>
      <c r="B16" s="312"/>
      <c r="C16" s="368">
        <v>-0.2663359157348395</v>
      </c>
      <c r="D16" s="368">
        <v>-0.28096177461033334</v>
      </c>
      <c r="E16" s="368">
        <v>-0.30631145989115816</v>
      </c>
      <c r="F16" s="368">
        <v>-0.28767901933324136</v>
      </c>
      <c r="G16" s="368">
        <v>-0.32615978635415172</v>
      </c>
      <c r="H16" s="368">
        <v>0.34386337823057539</v>
      </c>
      <c r="I16" s="368">
        <f>I13/I8</f>
        <v>-0.39013632246909513</v>
      </c>
      <c r="J16" s="368">
        <v>-0.37142106779077982</v>
      </c>
      <c r="K16" s="368">
        <v>-0.34047592695074708</v>
      </c>
      <c r="L16" s="368">
        <v>-0.32003172435784749</v>
      </c>
      <c r="M16" s="368">
        <v>-0.22330987692491522</v>
      </c>
      <c r="N16" s="368">
        <v>-0.23979932619726793</v>
      </c>
      <c r="O16" s="368">
        <v>-0.25886907834454037</v>
      </c>
      <c r="P16" s="368">
        <v>-0.26378849949952476</v>
      </c>
      <c r="Q16" s="10">
        <v>-0.31908001548321585</v>
      </c>
      <c r="R16" s="10">
        <f>SUM(R13:R15)/R8</f>
        <v>-0.30958435388058025</v>
      </c>
      <c r="S16" s="10"/>
      <c r="T16" s="271">
        <f>(R16-Q16)*100</f>
        <v>0.94956616026355967</v>
      </c>
      <c r="U16" s="10">
        <v>-0.25995472743095582</v>
      </c>
      <c r="V16" s="10">
        <f>SUM(V13:V15)/V8</f>
        <v>-0.24072035534809372</v>
      </c>
      <c r="W16" s="10"/>
      <c r="X16" s="271">
        <f>(V16-U16)*100</f>
        <v>1.9234372082862106</v>
      </c>
      <c r="Y16" s="10">
        <v>-0.29284807807471747</v>
      </c>
      <c r="Z16" s="10">
        <f>SUM(Z13:Z15)/Z8</f>
        <v>-0.27887726822267245</v>
      </c>
      <c r="AA16" s="10"/>
      <c r="AB16" s="271">
        <f>(Z16-Y16)*100</f>
        <v>1.3970809852045019</v>
      </c>
      <c r="AC16" s="10">
        <v>-0.21882726998690238</v>
      </c>
      <c r="AD16" s="10"/>
      <c r="AE16" s="10"/>
      <c r="AF16" s="271">
        <f>(AD16-AC16)*100</f>
        <v>21.882726998690238</v>
      </c>
      <c r="AG16" s="10">
        <f>SUM(AG13:AG15)/AG8</f>
        <v>-0.28725563662885173</v>
      </c>
      <c r="AH16" s="10">
        <f>SUM(AH13:AH15)/AH8</f>
        <v>-0.27258783385876484</v>
      </c>
      <c r="AI16" s="10"/>
      <c r="AJ16" s="271">
        <f>(AH16-AG16)*100</f>
        <v>1.4667802770086891</v>
      </c>
      <c r="AN16" s="354"/>
    </row>
    <row r="17" spans="1:40">
      <c r="A17" s="325"/>
      <c r="B17" s="326"/>
      <c r="C17" s="361"/>
      <c r="D17" s="361"/>
      <c r="E17" s="361"/>
      <c r="F17" s="363"/>
      <c r="G17" s="42"/>
      <c r="H17" s="25"/>
      <c r="I17" s="363"/>
      <c r="J17" s="363"/>
      <c r="K17" s="25"/>
      <c r="L17" s="25"/>
      <c r="M17" s="25"/>
      <c r="N17" s="25"/>
      <c r="O17" s="25"/>
      <c r="P17" s="25"/>
      <c r="Q17" s="25"/>
      <c r="R17" s="25"/>
      <c r="S17" s="59"/>
      <c r="T17" s="58"/>
      <c r="U17" s="42"/>
      <c r="V17" s="23"/>
      <c r="W17" s="59"/>
      <c r="X17" s="58"/>
      <c r="Y17" s="42"/>
      <c r="Z17" s="23"/>
      <c r="AA17" s="57"/>
      <c r="AB17" s="58"/>
      <c r="AC17" s="42"/>
      <c r="AD17" s="23"/>
      <c r="AE17" s="57"/>
      <c r="AF17" s="58"/>
      <c r="AG17" s="24"/>
      <c r="AH17" s="23"/>
      <c r="AI17" s="57"/>
      <c r="AJ17" s="58"/>
      <c r="AN17" s="354"/>
    </row>
    <row r="18" spans="1:40">
      <c r="A18" s="309" t="s">
        <v>471</v>
      </c>
      <c r="B18" s="310"/>
      <c r="C18" s="365">
        <v>-24415</v>
      </c>
      <c r="D18" s="365">
        <v>-27788</v>
      </c>
      <c r="E18" s="365">
        <v>-40504</v>
      </c>
      <c r="F18" s="8">
        <v>-33902</v>
      </c>
      <c r="G18" s="8">
        <v>-36416</v>
      </c>
      <c r="H18" s="365">
        <v>-35735</v>
      </c>
      <c r="I18" s="8">
        <v>-36213</v>
      </c>
      <c r="J18" s="8">
        <v>-35189</v>
      </c>
      <c r="K18" s="8">
        <v>-39589</v>
      </c>
      <c r="L18" s="8">
        <v>-33850</v>
      </c>
      <c r="M18" s="8">
        <v>-37499</v>
      </c>
      <c r="N18" s="8">
        <v>-38493</v>
      </c>
      <c r="O18" s="8">
        <v>-41299</v>
      </c>
      <c r="P18" s="8">
        <v>-40492.871306779016</v>
      </c>
      <c r="Q18" s="8">
        <v>-9989</v>
      </c>
      <c r="R18" s="8">
        <v>-10112</v>
      </c>
      <c r="S18" s="60">
        <f>IFERROR(R18/Q18-1,0)</f>
        <v>1.2313544899389406E-2</v>
      </c>
      <c r="T18" s="90">
        <f>R18-Q18</f>
        <v>-123</v>
      </c>
      <c r="U18" s="8">
        <v>-10547</v>
      </c>
      <c r="V18" s="8">
        <v>-10156</v>
      </c>
      <c r="W18" s="60">
        <f>IFERROR(V18/U18-1,0)</f>
        <v>-3.7072153218924764E-2</v>
      </c>
      <c r="X18" s="90">
        <f>V18-U18</f>
        <v>391</v>
      </c>
      <c r="Y18" s="8">
        <v>-8948</v>
      </c>
      <c r="Z18" s="8">
        <f>AH18-R18-V18</f>
        <v>-10735</v>
      </c>
      <c r="AA18" s="60">
        <f>Z18/Y18-1</f>
        <v>0.19970943227536875</v>
      </c>
      <c r="AB18" s="90">
        <f>Z18-Y18</f>
        <v>-1787</v>
      </c>
      <c r="AC18" s="8">
        <v>-11008.871306779016</v>
      </c>
      <c r="AD18" s="8"/>
      <c r="AE18" s="60">
        <f>AD18/AC18-1</f>
        <v>-1</v>
      </c>
      <c r="AF18" s="90">
        <f>AD18-AC18</f>
        <v>11008.871306779016</v>
      </c>
      <c r="AG18" s="8">
        <f>Q18+U18+Y18</f>
        <v>-29484</v>
      </c>
      <c r="AH18" s="8">
        <f>[1]DRE!$J$13</f>
        <v>-31003</v>
      </c>
      <c r="AI18" s="60">
        <f>IFERROR(AH18/AG18-1,0)</f>
        <v>5.1519468186134842E-2</v>
      </c>
      <c r="AJ18" s="90">
        <f>AH18-AG18</f>
        <v>-1519</v>
      </c>
      <c r="AK18" s="296"/>
      <c r="AL18" s="296"/>
      <c r="AM18" s="296"/>
      <c r="AN18" s="102"/>
    </row>
    <row r="19" spans="1:40">
      <c r="A19" s="312" t="s">
        <v>470</v>
      </c>
      <c r="B19" s="312"/>
      <c r="C19" s="10">
        <v>-9.317635385261229E-2</v>
      </c>
      <c r="D19" s="10">
        <v>-8.88604249083432E-2</v>
      </c>
      <c r="E19" s="10">
        <v>-9.3392645404690167E-2</v>
      </c>
      <c r="F19" s="10">
        <v>-8.2001194873171701E-2</v>
      </c>
      <c r="G19" s="10">
        <v>-9.1660311155746521E-2</v>
      </c>
      <c r="H19" s="10">
        <v>9.9023763375825899E-2</v>
      </c>
      <c r="I19" s="10">
        <v>-0.10648502099530693</v>
      </c>
      <c r="J19" s="10">
        <v>-0.11511102459433294</v>
      </c>
      <c r="K19" s="10">
        <v>-0.12519250533639023</v>
      </c>
      <c r="L19" s="10">
        <v>-0.13838524653832474</v>
      </c>
      <c r="M19" s="10">
        <v>-0.11927099196409856</v>
      </c>
      <c r="N19" s="10">
        <v>-0.109594484574787</v>
      </c>
      <c r="O19" s="10">
        <v>-0.12063498264052415</v>
      </c>
      <c r="P19" s="10">
        <v>-0.10116136229300889</v>
      </c>
      <c r="Q19" s="10">
        <v>-0.14525978829012137</v>
      </c>
      <c r="R19" s="10">
        <f t="shared" ref="R19" si="8">R18/R8</f>
        <v>-0.11665798347085625</v>
      </c>
      <c r="S19" s="10"/>
      <c r="T19" s="271">
        <f>(R19-Q19)*100</f>
        <v>2.8601804819265122</v>
      </c>
      <c r="U19" s="10">
        <v>-0.10594059158478714</v>
      </c>
      <c r="V19" s="10">
        <f t="shared" ref="V19" si="9">V18/V8</f>
        <v>-8.3305139500297803E-2</v>
      </c>
      <c r="W19" s="10"/>
      <c r="X19" s="271">
        <f>(V19-U19)*100</f>
        <v>2.2635452084489334</v>
      </c>
      <c r="Y19" s="10">
        <v>-9.4503916712801922E-2</v>
      </c>
      <c r="Z19" s="10">
        <f t="shared" ref="Z19" si="10">Z18/Z8</f>
        <v>-9.9555966691177167E-2</v>
      </c>
      <c r="AA19" s="10"/>
      <c r="AB19" s="271">
        <f>(Z19-Y19)*100</f>
        <v>-0.50520499783752448</v>
      </c>
      <c r="AC19" s="10">
        <v>-8.0196414777426728E-2</v>
      </c>
      <c r="AD19" s="10"/>
      <c r="AE19" s="10"/>
      <c r="AF19" s="271">
        <f>(AD19-AC19)*100</f>
        <v>8.0196414777426721</v>
      </c>
      <c r="AG19" s="10">
        <f t="shared" ref="AG19" si="11">AG18/AG8</f>
        <v>-0.11210384103726094</v>
      </c>
      <c r="AH19" s="10">
        <f>AH18/AH8</f>
        <v>-9.797967158386707E-2</v>
      </c>
      <c r="AI19" s="10"/>
      <c r="AJ19" s="271">
        <f>(AH19-AG19)*100</f>
        <v>1.4124169453393871</v>
      </c>
    </row>
    <row r="20" spans="1:40">
      <c r="A20" s="325"/>
      <c r="B20" s="326"/>
      <c r="C20" s="361"/>
      <c r="D20" s="361"/>
      <c r="E20" s="361"/>
      <c r="F20" s="363"/>
      <c r="G20" s="42"/>
      <c r="H20" s="361"/>
      <c r="I20" s="363"/>
      <c r="J20" s="363"/>
      <c r="K20" s="363"/>
      <c r="L20" s="363"/>
      <c r="M20" s="363"/>
      <c r="N20" s="363"/>
      <c r="O20" s="363"/>
      <c r="P20" s="363"/>
      <c r="Q20" s="24"/>
      <c r="R20" s="24"/>
      <c r="S20" s="59"/>
      <c r="T20" s="58"/>
      <c r="U20" s="42"/>
      <c r="V20" s="23"/>
      <c r="W20" s="59"/>
      <c r="X20" s="58"/>
      <c r="Y20" s="42"/>
      <c r="Z20" s="23"/>
      <c r="AA20" s="59"/>
      <c r="AB20" s="58"/>
      <c r="AC20" s="42"/>
      <c r="AD20" s="23"/>
      <c r="AE20" s="59"/>
      <c r="AF20" s="58"/>
      <c r="AG20" s="24"/>
      <c r="AH20" s="23"/>
      <c r="AI20" s="59"/>
      <c r="AJ20" s="58"/>
      <c r="AK20" s="296"/>
      <c r="AL20" s="296"/>
      <c r="AM20" s="296"/>
      <c r="AN20" s="102"/>
    </row>
    <row r="21" spans="1:40">
      <c r="A21" s="309" t="s">
        <v>472</v>
      </c>
      <c r="B21" s="310"/>
      <c r="C21" s="365">
        <v>26537</v>
      </c>
      <c r="D21" s="365">
        <v>-7520</v>
      </c>
      <c r="E21" s="365">
        <v>-28934</v>
      </c>
      <c r="F21" s="8">
        <v>-11784</v>
      </c>
      <c r="G21" s="8">
        <v>-9126</v>
      </c>
      <c r="H21" s="365">
        <v>-1209</v>
      </c>
      <c r="I21" s="8">
        <v>1043</v>
      </c>
      <c r="J21" s="8">
        <v>-829</v>
      </c>
      <c r="K21" s="8">
        <v>-88632</v>
      </c>
      <c r="L21" s="8">
        <v>-9883</v>
      </c>
      <c r="M21" s="8">
        <v>-6819</v>
      </c>
      <c r="N21" s="8">
        <v>-12231</v>
      </c>
      <c r="O21" s="8">
        <v>2257</v>
      </c>
      <c r="P21" s="8">
        <v>-6001.1664099999998</v>
      </c>
      <c r="Q21" s="8">
        <v>-235.1127100000009</v>
      </c>
      <c r="R21" s="8">
        <v>-4310.4732599999988</v>
      </c>
      <c r="S21" s="60">
        <f>IFERROR(R21/Q21-1,0)</f>
        <v>17.333646275439477</v>
      </c>
      <c r="T21" s="90">
        <f>R21-Q21</f>
        <v>-4075.3605499999981</v>
      </c>
      <c r="U21" s="8">
        <v>823.1127100000009</v>
      </c>
      <c r="V21" s="8">
        <v>-5145.511120000001</v>
      </c>
      <c r="W21" s="60">
        <f>IFERROR(V21/U21-1,0)</f>
        <v>-7.2512837640424666</v>
      </c>
      <c r="X21" s="90">
        <f>V21-U21</f>
        <v>-5968.6238300000023</v>
      </c>
      <c r="Y21" s="8">
        <v>-1188</v>
      </c>
      <c r="Z21" s="8">
        <v>-2461.3838700000001</v>
      </c>
      <c r="AA21" s="60">
        <f>Z21/Y21-1</f>
        <v>1.0718719444444447</v>
      </c>
      <c r="AB21" s="90">
        <f>Z21-Y21</f>
        <v>-1273.3838700000001</v>
      </c>
      <c r="AC21" s="8">
        <v>-5401.1664099999998</v>
      </c>
      <c r="AD21" s="8"/>
      <c r="AE21" s="60">
        <f>AD21/AC21-1</f>
        <v>-1</v>
      </c>
      <c r="AF21" s="90">
        <f>AD21-AC21</f>
        <v>5401.1664099999998</v>
      </c>
      <c r="AG21" s="8">
        <f>Q21+U21+Y21</f>
        <v>-600</v>
      </c>
      <c r="AH21" s="8">
        <f>R21+V21+Z21</f>
        <v>-11917.36825</v>
      </c>
      <c r="AI21" s="60">
        <f>IFERROR(AH21/AG21-1,0)</f>
        <v>18.862280416666668</v>
      </c>
      <c r="AJ21" s="90">
        <f>AH21-AG21</f>
        <v>-11317.36825</v>
      </c>
    </row>
    <row r="22" spans="1:40">
      <c r="A22" s="325"/>
      <c r="B22" s="326"/>
      <c r="C22" s="361"/>
      <c r="D22" s="361"/>
      <c r="E22" s="361"/>
      <c r="F22" s="363"/>
      <c r="G22" s="40"/>
      <c r="H22" s="361"/>
      <c r="I22" s="363"/>
      <c r="J22" s="363"/>
      <c r="K22" s="363"/>
      <c r="L22" s="363"/>
      <c r="M22" s="363"/>
      <c r="N22" s="363"/>
      <c r="O22" s="363"/>
      <c r="P22" s="363"/>
      <c r="Q22" s="24"/>
      <c r="R22" s="24"/>
      <c r="S22" s="59"/>
      <c r="T22" s="58"/>
      <c r="U22" s="42"/>
      <c r="V22" s="23"/>
      <c r="W22" s="59"/>
      <c r="X22" s="58"/>
      <c r="Y22" s="42"/>
      <c r="Z22" s="23"/>
      <c r="AA22" s="59"/>
      <c r="AB22" s="58"/>
      <c r="AC22" s="42"/>
      <c r="AD22" s="23"/>
      <c r="AE22" s="59"/>
      <c r="AF22" s="58"/>
      <c r="AG22" s="24"/>
      <c r="AH22" s="23"/>
      <c r="AI22" s="59"/>
      <c r="AJ22" s="58"/>
      <c r="AK22" s="296"/>
      <c r="AL22" s="296"/>
    </row>
    <row r="23" spans="1:40">
      <c r="A23" s="325" t="s">
        <v>473</v>
      </c>
      <c r="B23" s="326"/>
      <c r="C23" s="369">
        <f>C10+C13+C18+C21+C14+C15</f>
        <v>98500</v>
      </c>
      <c r="D23" s="369">
        <f t="shared" ref="D23:L23" si="12">D10+D13+D18+D21+D14+D15</f>
        <v>64759</v>
      </c>
      <c r="E23" s="369">
        <f t="shared" si="12"/>
        <v>48490</v>
      </c>
      <c r="F23" s="369">
        <f t="shared" si="12"/>
        <v>65180</v>
      </c>
      <c r="G23" s="369">
        <f t="shared" si="12"/>
        <v>31655</v>
      </c>
      <c r="H23" s="369">
        <f t="shared" si="12"/>
        <v>8544.9741403039661</v>
      </c>
      <c r="I23" s="369">
        <f t="shared" si="12"/>
        <v>-12773.390136322469</v>
      </c>
      <c r="J23" s="369">
        <f t="shared" si="12"/>
        <v>-2901.8242947548279</v>
      </c>
      <c r="K23" s="369">
        <f t="shared" si="12"/>
        <v>-126645</v>
      </c>
      <c r="L23" s="369">
        <f t="shared" si="12"/>
        <v>-9616</v>
      </c>
      <c r="M23" s="369">
        <v>50648.677914169384</v>
      </c>
      <c r="N23" s="369">
        <v>55600.616256301873</v>
      </c>
      <c r="O23" s="369">
        <v>61715.197720072669</v>
      </c>
      <c r="P23" s="369">
        <v>66766.925824260077</v>
      </c>
      <c r="Q23" s="23">
        <v>4344.825632352804</v>
      </c>
      <c r="R23" s="23">
        <f>R10+R13+R18+R21+R14</f>
        <v>5040.7564852264186</v>
      </c>
      <c r="S23" s="57">
        <f>IFERROR(R23/Q23-1,0)</f>
        <v>0.16017463340565752</v>
      </c>
      <c r="T23" s="91">
        <f>R23-Q23</f>
        <v>695.93085287361464</v>
      </c>
      <c r="U23" s="23">
        <v>19135.336493473769</v>
      </c>
      <c r="V23" s="23">
        <f>V10+V13+V18+V21+V14</f>
        <v>23279.741209674197</v>
      </c>
      <c r="W23" s="57">
        <f>IFERROR(V23/U23-1,0)</f>
        <v>0.2165838430703273</v>
      </c>
      <c r="X23" s="91">
        <f>V23-U23</f>
        <v>4144.4047162004281</v>
      </c>
      <c r="Y23" s="23">
        <v>14631.992371723609</v>
      </c>
      <c r="Z23" s="23">
        <f>Z10+Z13+Z18+Z21+Z14+1</f>
        <v>15808.476867815405</v>
      </c>
      <c r="AA23" s="57">
        <f>Z23/Y23-1</f>
        <v>8.0404941870073632E-2</v>
      </c>
      <c r="AB23" s="91">
        <f>Z23-Y23</f>
        <v>1176.4844960917962</v>
      </c>
      <c r="AC23" s="23">
        <v>28653.771326709917</v>
      </c>
      <c r="AD23" s="23"/>
      <c r="AE23" s="57">
        <f>AD23/AC23-1</f>
        <v>-1</v>
      </c>
      <c r="AF23" s="91">
        <f>AD23-AC23</f>
        <v>-28653.771326709917</v>
      </c>
      <c r="AG23" s="23">
        <f>AG10+AG13+AG18+AG21+AG14</f>
        <v>38113.15449755016</v>
      </c>
      <c r="AH23" s="23">
        <f>AH10+AH13+AH18+AH21+AH14</f>
        <v>44127.974562716001</v>
      </c>
      <c r="AI23" s="57">
        <f>IFERROR(AH23/AG23-1,0)</f>
        <v>0.15781480553000304</v>
      </c>
      <c r="AJ23" s="91">
        <f>AH23-AG23</f>
        <v>6014.8200651658408</v>
      </c>
    </row>
    <row r="24" spans="1:40">
      <c r="A24" s="325"/>
      <c r="B24" s="326"/>
      <c r="C24" s="361"/>
      <c r="D24" s="361"/>
      <c r="E24" s="361"/>
      <c r="F24" s="363"/>
      <c r="G24" s="43"/>
      <c r="H24" s="361"/>
      <c r="I24" s="363"/>
      <c r="J24" s="363"/>
      <c r="K24" s="363"/>
      <c r="L24" s="363"/>
      <c r="M24" s="363"/>
      <c r="N24" s="363"/>
      <c r="O24" s="363"/>
      <c r="P24" s="363"/>
      <c r="Q24" s="24"/>
      <c r="R24" s="24"/>
      <c r="S24" s="59"/>
      <c r="T24" s="58"/>
      <c r="U24" s="43"/>
      <c r="V24" s="23"/>
      <c r="W24" s="59"/>
      <c r="X24" s="58"/>
      <c r="Y24" s="43"/>
      <c r="Z24" s="23"/>
      <c r="AA24" s="59"/>
      <c r="AB24" s="58"/>
      <c r="AC24" s="43"/>
      <c r="AD24" s="23"/>
      <c r="AE24" s="59"/>
      <c r="AF24" s="58"/>
      <c r="AG24" s="24"/>
      <c r="AH24" s="23"/>
      <c r="AI24" s="59"/>
      <c r="AJ24" s="58"/>
      <c r="AK24" s="296"/>
    </row>
    <row r="25" spans="1:40">
      <c r="A25" s="310" t="s">
        <v>474</v>
      </c>
      <c r="B25" s="310"/>
      <c r="C25" s="365">
        <v>-9288</v>
      </c>
      <c r="D25" s="365">
        <v>-3374</v>
      </c>
      <c r="E25" s="365">
        <v>-29310</v>
      </c>
      <c r="F25" s="8">
        <v>-40566</v>
      </c>
      <c r="G25" s="8">
        <v>-58084</v>
      </c>
      <c r="H25" s="365">
        <v>-85736</v>
      </c>
      <c r="I25" s="8">
        <v>-45134</v>
      </c>
      <c r="J25" s="8">
        <v>-78624</v>
      </c>
      <c r="K25" s="8">
        <v>-45519</v>
      </c>
      <c r="L25" s="8">
        <v>-78936</v>
      </c>
      <c r="M25" s="8">
        <v>-27277</v>
      </c>
      <c r="N25" s="8">
        <v>-37123</v>
      </c>
      <c r="O25" s="8">
        <v>-27125</v>
      </c>
      <c r="P25" s="8">
        <v>-25067.360720000001</v>
      </c>
      <c r="Q25" s="8">
        <v>-1367.2563799999998</v>
      </c>
      <c r="R25" s="8">
        <v>-7636.7620100000013</v>
      </c>
      <c r="S25" s="60">
        <f t="shared" ref="S25:S27" si="13">IFERROR(R25/Q25-1,0)</f>
        <v>4.5854645271430385</v>
      </c>
      <c r="T25" s="90">
        <f>R25-Q25</f>
        <v>-6269.5056300000015</v>
      </c>
      <c r="U25" s="8">
        <v>-3450.7436200000002</v>
      </c>
      <c r="V25" s="8">
        <v>-11048.701899999996</v>
      </c>
      <c r="W25" s="60">
        <f t="shared" ref="W25:W27" si="14">IFERROR(V25/U25-1,0)</f>
        <v>2.2018321604547357</v>
      </c>
      <c r="X25" s="90">
        <f>V25-U25</f>
        <v>-7597.9582799999962</v>
      </c>
      <c r="Y25" s="8">
        <v>-8572</v>
      </c>
      <c r="Z25" s="8">
        <v>-9441.7076799999959</v>
      </c>
      <c r="AA25" s="60">
        <f>Z25/Y25-1</f>
        <v>0.10145913205786239</v>
      </c>
      <c r="AB25" s="90">
        <f>Z25-Y25</f>
        <v>-869.70767999999589</v>
      </c>
      <c r="AC25" s="8">
        <v>-11677.360720000001</v>
      </c>
      <c r="AD25" s="8"/>
      <c r="AE25" s="60">
        <f>AD25/AC25-1</f>
        <v>-1</v>
      </c>
      <c r="AF25" s="90">
        <f>AD25-AC25</f>
        <v>11677.360720000001</v>
      </c>
      <c r="AG25" s="8">
        <f>Q25+U25+Y25</f>
        <v>-13390</v>
      </c>
      <c r="AH25" s="8">
        <f>R25+V25+Z25</f>
        <v>-28127.171589999994</v>
      </c>
      <c r="AI25" s="60">
        <f t="shared" ref="AI25:AI27" si="15">IFERROR(AH25/AG25-1,0)</f>
        <v>1.1006102755787897</v>
      </c>
      <c r="AJ25" s="90">
        <f>AH25-AG25</f>
        <v>-14737.171589999994</v>
      </c>
    </row>
    <row r="26" spans="1:40">
      <c r="A26" s="310" t="s">
        <v>475</v>
      </c>
      <c r="B26" s="310"/>
      <c r="C26" s="365">
        <v>16592</v>
      </c>
      <c r="D26" s="365">
        <v>20034</v>
      </c>
      <c r="E26" s="365">
        <v>23764</v>
      </c>
      <c r="F26" s="8">
        <v>30667</v>
      </c>
      <c r="G26" s="8">
        <v>57485</v>
      </c>
      <c r="H26" s="365">
        <v>79046</v>
      </c>
      <c r="I26" s="8">
        <v>42635</v>
      </c>
      <c r="J26" s="8">
        <v>82873</v>
      </c>
      <c r="K26" s="8">
        <v>40336</v>
      </c>
      <c r="L26" s="8">
        <v>54628</v>
      </c>
      <c r="M26" s="8">
        <v>12246</v>
      </c>
      <c r="N26" s="8">
        <v>27152</v>
      </c>
      <c r="O26" s="8">
        <v>30641</v>
      </c>
      <c r="P26" s="8">
        <v>43403.342913635977</v>
      </c>
      <c r="Q26" s="8">
        <v>6423</v>
      </c>
      <c r="R26" s="8">
        <v>7801.7423144555432</v>
      </c>
      <c r="S26" s="60">
        <f t="shared" si="13"/>
        <v>0.21465706281419017</v>
      </c>
      <c r="T26" s="90">
        <f>R26-Q26</f>
        <v>1378.7423144555432</v>
      </c>
      <c r="U26" s="8">
        <v>9780</v>
      </c>
      <c r="V26" s="8">
        <v>11061.61857942777</v>
      </c>
      <c r="W26" s="60">
        <f t="shared" si="14"/>
        <v>0.13104484452226695</v>
      </c>
      <c r="X26" s="90">
        <f>V26-U26</f>
        <v>1281.6185794277699</v>
      </c>
      <c r="Y26" s="8">
        <v>8647</v>
      </c>
      <c r="Z26" s="8">
        <v>11087</v>
      </c>
      <c r="AA26" s="60">
        <f>Z26/Y26-1</f>
        <v>0.28217879033190707</v>
      </c>
      <c r="AB26" s="90">
        <f>Z26-Y26</f>
        <v>2440</v>
      </c>
      <c r="AC26" s="8">
        <v>18553.342913635977</v>
      </c>
      <c r="AD26" s="8"/>
      <c r="AE26" s="60">
        <f>AD26/AC26-1</f>
        <v>-1</v>
      </c>
      <c r="AF26" s="90">
        <f>AD26-AC26</f>
        <v>-18553.342913635977</v>
      </c>
      <c r="AG26" s="8">
        <f>Q26+U26+Y26</f>
        <v>24850</v>
      </c>
      <c r="AH26" s="8">
        <f>R26+V26+Z26</f>
        <v>29950.360893883313</v>
      </c>
      <c r="AI26" s="60">
        <f t="shared" si="15"/>
        <v>0.20524591122266855</v>
      </c>
      <c r="AJ26" s="90">
        <f>AH26-AG26</f>
        <v>5100.3608938833131</v>
      </c>
    </row>
    <row r="27" spans="1:40">
      <c r="A27" s="309" t="s">
        <v>476</v>
      </c>
      <c r="B27" s="310"/>
      <c r="C27" s="365">
        <f>SUM(C25:C26)</f>
        <v>7304</v>
      </c>
      <c r="D27" s="365">
        <f t="shared" ref="D27:L27" si="16">SUM(D25:D26)</f>
        <v>16660</v>
      </c>
      <c r="E27" s="365">
        <f t="shared" si="16"/>
        <v>-5546</v>
      </c>
      <c r="F27" s="365">
        <f t="shared" si="16"/>
        <v>-9899</v>
      </c>
      <c r="G27" s="365">
        <f t="shared" si="16"/>
        <v>-599</v>
      </c>
      <c r="H27" s="365">
        <f t="shared" si="16"/>
        <v>-6690</v>
      </c>
      <c r="I27" s="365">
        <f t="shared" si="16"/>
        <v>-2499</v>
      </c>
      <c r="J27" s="365">
        <f t="shared" si="16"/>
        <v>4249</v>
      </c>
      <c r="K27" s="365">
        <f t="shared" si="16"/>
        <v>-5183</v>
      </c>
      <c r="L27" s="365">
        <f t="shared" si="16"/>
        <v>-24308</v>
      </c>
      <c r="M27" s="365">
        <v>-15031</v>
      </c>
      <c r="N27" s="365">
        <v>-9971</v>
      </c>
      <c r="O27" s="365">
        <v>3515.9999999999991</v>
      </c>
      <c r="P27" s="365">
        <v>18335.982193635977</v>
      </c>
      <c r="Q27" s="8">
        <v>5055.8470842935685</v>
      </c>
      <c r="R27" s="8">
        <f>SUM(R25:R26)</f>
        <v>164.98030445554195</v>
      </c>
      <c r="S27" s="60">
        <f t="shared" si="13"/>
        <v>-0.96736841488579284</v>
      </c>
      <c r="T27" s="90">
        <f>R27-Q27</f>
        <v>-4890.8667798380266</v>
      </c>
      <c r="U27" s="8">
        <v>6329.2563799999998</v>
      </c>
      <c r="V27" s="8">
        <f>SUM(V25:V26)</f>
        <v>12.916679427773488</v>
      </c>
      <c r="W27" s="60">
        <f t="shared" si="14"/>
        <v>-0.99795921058458159</v>
      </c>
      <c r="X27" s="90">
        <f>V27-U27</f>
        <v>-6316.3397005722263</v>
      </c>
      <c r="Y27" s="8">
        <v>75</v>
      </c>
      <c r="Z27" s="8">
        <f>SUM(Z25:Z26)</f>
        <v>1645.2923200000041</v>
      </c>
      <c r="AA27" s="60">
        <f>Z27/Y27-1</f>
        <v>20.937230933333389</v>
      </c>
      <c r="AB27" s="90">
        <f>Z27-Y27</f>
        <v>1570.2923200000041</v>
      </c>
      <c r="AC27" s="8">
        <v>6875.9821936359767</v>
      </c>
      <c r="AD27" s="8"/>
      <c r="AE27" s="60">
        <f>AD27/AC27-1</f>
        <v>-1</v>
      </c>
      <c r="AF27" s="90">
        <f>AD27-AC27</f>
        <v>-6875.9821936359767</v>
      </c>
      <c r="AG27" s="8">
        <f>SUM(AG25:AG26)</f>
        <v>11460</v>
      </c>
      <c r="AH27" s="8">
        <f>SUM(AH25:AH26)</f>
        <v>1823.1893038833186</v>
      </c>
      <c r="AI27" s="60">
        <f t="shared" si="15"/>
        <v>-0.84090843770651669</v>
      </c>
      <c r="AJ27" s="90">
        <f>AH27-AG27</f>
        <v>-9636.8106961166814</v>
      </c>
    </row>
    <row r="28" spans="1:40">
      <c r="A28" s="325"/>
      <c r="B28" s="326"/>
      <c r="C28" s="361"/>
      <c r="D28" s="361"/>
      <c r="E28" s="361"/>
      <c r="F28" s="370"/>
      <c r="G28" s="40"/>
      <c r="H28" s="361"/>
      <c r="I28" s="370"/>
      <c r="J28" s="370"/>
      <c r="K28" s="370"/>
      <c r="L28" s="370"/>
      <c r="M28" s="370"/>
      <c r="N28" s="370"/>
      <c r="O28" s="370"/>
      <c r="P28" s="370"/>
      <c r="Q28" s="85"/>
      <c r="R28" s="85"/>
      <c r="S28" s="59"/>
      <c r="T28" s="58"/>
      <c r="U28" s="42"/>
      <c r="V28" s="23"/>
      <c r="W28" s="59"/>
      <c r="X28" s="58"/>
      <c r="Y28" s="42"/>
      <c r="Z28" s="23"/>
      <c r="AA28" s="59"/>
      <c r="AB28" s="58"/>
      <c r="AC28" s="42"/>
      <c r="AD28" s="23"/>
      <c r="AE28" s="59"/>
      <c r="AF28" s="58"/>
      <c r="AG28" s="85"/>
      <c r="AH28" s="85"/>
      <c r="AI28" s="59"/>
      <c r="AJ28" s="58"/>
    </row>
    <row r="29" spans="1:40">
      <c r="A29" s="325" t="s">
        <v>477</v>
      </c>
      <c r="B29" s="326"/>
      <c r="C29" s="361">
        <f>C23+C27</f>
        <v>105804</v>
      </c>
      <c r="D29" s="361">
        <f t="shared" ref="D29:L29" si="17">D23+D27</f>
        <v>81419</v>
      </c>
      <c r="E29" s="361">
        <f t="shared" si="17"/>
        <v>42944</v>
      </c>
      <c r="F29" s="361">
        <f t="shared" si="17"/>
        <v>55281</v>
      </c>
      <c r="G29" s="361">
        <f t="shared" si="17"/>
        <v>31056</v>
      </c>
      <c r="H29" s="361">
        <f t="shared" si="17"/>
        <v>1854.9741403039661</v>
      </c>
      <c r="I29" s="361">
        <f t="shared" si="17"/>
        <v>-15272.390136322469</v>
      </c>
      <c r="J29" s="361">
        <f t="shared" si="17"/>
        <v>1347.1757052451721</v>
      </c>
      <c r="K29" s="361">
        <f t="shared" si="17"/>
        <v>-131828</v>
      </c>
      <c r="L29" s="361">
        <f t="shared" si="17"/>
        <v>-33924</v>
      </c>
      <c r="M29" s="361">
        <v>35617.677914169384</v>
      </c>
      <c r="N29" s="361">
        <v>45629.616256301873</v>
      </c>
      <c r="O29" s="361">
        <v>65231.197720072669</v>
      </c>
      <c r="P29" s="361">
        <v>85102.908017896058</v>
      </c>
      <c r="Q29" s="23">
        <v>9400.6727166463716</v>
      </c>
      <c r="R29" s="23">
        <f>R23+R27</f>
        <v>5205.7367896819605</v>
      </c>
      <c r="S29" s="57">
        <f>IFERROR(R29/Q29-1,0)</f>
        <v>-0.44623784418493473</v>
      </c>
      <c r="T29" s="91">
        <f>R29-Q29</f>
        <v>-4194.935926964411</v>
      </c>
      <c r="U29" s="23">
        <v>25464.592873473768</v>
      </c>
      <c r="V29" s="23">
        <f>V23+V27</f>
        <v>23292.657889101971</v>
      </c>
      <c r="W29" s="57">
        <f>IFERROR(V29/U29-1,0)</f>
        <v>-8.5292350644030179E-2</v>
      </c>
      <c r="X29" s="91">
        <f>V29-U29</f>
        <v>-2171.9349843717973</v>
      </c>
      <c r="Y29" s="23">
        <v>14706.992371723609</v>
      </c>
      <c r="Z29" s="23">
        <f>Z23+Z27</f>
        <v>17453.769187815407</v>
      </c>
      <c r="AA29" s="57">
        <f>Z29/Y29-1</f>
        <v>0.18676672610321665</v>
      </c>
      <c r="AB29" s="91">
        <f>Z29-Y29</f>
        <v>2746.7768160917985</v>
      </c>
      <c r="AC29" s="23">
        <v>35529.753520345897</v>
      </c>
      <c r="AD29" s="23"/>
      <c r="AE29" s="57">
        <f>AD29/AC29-1</f>
        <v>-1</v>
      </c>
      <c r="AF29" s="91">
        <f>AD29-AC29</f>
        <v>-35529.753520345897</v>
      </c>
      <c r="AG29" s="23">
        <f>AG23+AG27</f>
        <v>49573.15449755016</v>
      </c>
      <c r="AH29" s="23">
        <f>AH23+AH27</f>
        <v>45951.163866599323</v>
      </c>
      <c r="AI29" s="57">
        <f>IFERROR(AH29/AG29-1,0)</f>
        <v>-7.3063549569552411E-2</v>
      </c>
      <c r="AJ29" s="91">
        <f>AH29-AG29</f>
        <v>-3621.9906309508369</v>
      </c>
    </row>
    <row r="30" spans="1:40">
      <c r="A30" s="325"/>
      <c r="B30" s="326"/>
      <c r="C30" s="361"/>
      <c r="D30" s="361"/>
      <c r="E30" s="361"/>
      <c r="F30" s="23"/>
      <c r="G30" s="23"/>
      <c r="H30" s="361"/>
      <c r="I30" s="23">
        <v>0</v>
      </c>
      <c r="J30" s="23"/>
      <c r="K30" s="23"/>
      <c r="L30" s="23"/>
      <c r="M30" s="23"/>
      <c r="N30" s="23"/>
      <c r="O30" s="23"/>
      <c r="P30" s="23"/>
      <c r="Q30" s="23"/>
      <c r="R30" s="23"/>
      <c r="S30" s="59"/>
      <c r="T30" s="58"/>
      <c r="U30" s="23"/>
      <c r="V30" s="23"/>
      <c r="W30" s="59"/>
      <c r="X30" s="58"/>
      <c r="Y30" s="23"/>
      <c r="Z30" s="23"/>
      <c r="AA30" s="59"/>
      <c r="AB30" s="272"/>
      <c r="AC30" s="23"/>
      <c r="AD30" s="23"/>
      <c r="AE30" s="59"/>
      <c r="AF30" s="272"/>
      <c r="AG30" s="23"/>
      <c r="AH30" s="23"/>
      <c r="AI30" s="59"/>
      <c r="AJ30" s="91"/>
    </row>
    <row r="31" spans="1:40">
      <c r="A31" s="326" t="s">
        <v>478</v>
      </c>
      <c r="B31" s="326"/>
      <c r="C31" s="361">
        <v>-5992</v>
      </c>
      <c r="D31" s="361">
        <v>-6459</v>
      </c>
      <c r="E31" s="361">
        <v>-7244</v>
      </c>
      <c r="F31" s="23">
        <v>-7146</v>
      </c>
      <c r="G31" s="23">
        <v>-7223</v>
      </c>
      <c r="H31" s="361">
        <v>178</v>
      </c>
      <c r="I31" s="23">
        <v>0</v>
      </c>
      <c r="J31" s="23">
        <v>0</v>
      </c>
      <c r="K31" s="23">
        <v>0</v>
      </c>
      <c r="L31" s="23">
        <v>-1893</v>
      </c>
      <c r="M31" s="23">
        <v>-1568</v>
      </c>
      <c r="N31" s="23">
        <v>-6822</v>
      </c>
      <c r="O31" s="23">
        <v>-2620</v>
      </c>
      <c r="P31" s="23">
        <v>-11520.847135410997</v>
      </c>
      <c r="Q31" s="23">
        <v>-724.82547541100007</v>
      </c>
      <c r="R31" s="23">
        <v>-6079.5761400000001</v>
      </c>
      <c r="S31" s="57">
        <f t="shared" ref="S31:S32" si="18">IFERROR(R31/Q31-1,0)</f>
        <v>7.3876413650509161</v>
      </c>
      <c r="T31" s="91">
        <f>R31-Q31</f>
        <v>-5354.7506645889998</v>
      </c>
      <c r="U31" s="23">
        <v>-1726.1745245889999</v>
      </c>
      <c r="V31" s="23">
        <v>-6053.8755400000009</v>
      </c>
      <c r="W31" s="57">
        <f t="shared" ref="W31:W32" si="19">IFERROR(V31/U31-1,0)</f>
        <v>2.5071051355258653</v>
      </c>
      <c r="X31" s="91">
        <f>V31-U31</f>
        <v>-4327.7010154110012</v>
      </c>
      <c r="Y31" s="23">
        <v>-2756</v>
      </c>
      <c r="Z31" s="23">
        <v>4508.4583600000005</v>
      </c>
      <c r="AA31" s="57">
        <f>Z31/Y31-1</f>
        <v>-2.6358702322206096</v>
      </c>
      <c r="AB31" s="91">
        <f>Z31-Y31</f>
        <v>7264.4583600000005</v>
      </c>
      <c r="AC31" s="23">
        <v>-6313.847135410997</v>
      </c>
      <c r="AD31" s="23"/>
      <c r="AE31" s="57"/>
      <c r="AF31" s="91">
        <f>AD31-AC31</f>
        <v>6313.847135410997</v>
      </c>
      <c r="AG31" s="23">
        <f>Q31+U31+Y31</f>
        <v>-5207</v>
      </c>
      <c r="AH31" s="23">
        <f>R31+V31+Z31</f>
        <v>-7624.9933200000014</v>
      </c>
      <c r="AI31" s="57">
        <f t="shared" ref="AI31:AI32" si="20">IFERROR(AH31/AG31-1,0)</f>
        <v>0.46437359708085291</v>
      </c>
      <c r="AJ31" s="91">
        <f>AH31-AG31</f>
        <v>-2417.9933200000014</v>
      </c>
    </row>
    <row r="32" spans="1:40">
      <c r="A32" s="326" t="s">
        <v>479</v>
      </c>
      <c r="B32" s="326"/>
      <c r="C32" s="361">
        <v>-10855</v>
      </c>
      <c r="D32" s="361">
        <v>-11196</v>
      </c>
      <c r="E32" s="361">
        <v>-4178</v>
      </c>
      <c r="F32" s="23">
        <v>-1907</v>
      </c>
      <c r="G32" s="23">
        <v>-1818</v>
      </c>
      <c r="H32" s="361">
        <v>-3969</v>
      </c>
      <c r="I32" s="23">
        <v>3188</v>
      </c>
      <c r="J32" s="23">
        <v>13022</v>
      </c>
      <c r="K32" s="23">
        <v>9174</v>
      </c>
      <c r="L32" s="23">
        <v>7654</v>
      </c>
      <c r="M32" s="23">
        <v>-5969</v>
      </c>
      <c r="N32" s="23">
        <v>1115</v>
      </c>
      <c r="O32" s="23">
        <v>-6399</v>
      </c>
      <c r="P32" s="23">
        <v>-8747.6322700000001</v>
      </c>
      <c r="Q32" s="23">
        <v>-2805.6748700000003</v>
      </c>
      <c r="R32" s="23">
        <v>5360.7877100000005</v>
      </c>
      <c r="S32" s="57">
        <f t="shared" si="18"/>
        <v>-2.9106945595588556</v>
      </c>
      <c r="T32" s="91">
        <f>R32-Q32</f>
        <v>8166.4625800000013</v>
      </c>
      <c r="U32" s="23">
        <v>-3667.3251299999997</v>
      </c>
      <c r="V32" s="23">
        <v>1857.0732099999998</v>
      </c>
      <c r="W32" s="57">
        <f t="shared" si="19"/>
        <v>-1.5063835749954353</v>
      </c>
      <c r="X32" s="91">
        <f>V32-U32</f>
        <v>5524.3983399999997</v>
      </c>
      <c r="Y32" s="23">
        <v>930</v>
      </c>
      <c r="Z32" s="23">
        <v>-3160.7118799999998</v>
      </c>
      <c r="AA32" s="57">
        <f>Z32/Y32-1</f>
        <v>-4.3986149247311825</v>
      </c>
      <c r="AB32" s="91">
        <f>Z32-Y32</f>
        <v>-4090.7118799999998</v>
      </c>
      <c r="AC32" s="23">
        <v>-3204.6322700000005</v>
      </c>
      <c r="AD32" s="23"/>
      <c r="AE32" s="57">
        <f>AD32/AC32-1</f>
        <v>-1</v>
      </c>
      <c r="AF32" s="91">
        <f>AD32-AC32</f>
        <v>3204.6322700000005</v>
      </c>
      <c r="AG32" s="23">
        <f>Q32+U32+Y32</f>
        <v>-5543</v>
      </c>
      <c r="AH32" s="23">
        <f>R32+V32+Z32</f>
        <v>4057.1490400000002</v>
      </c>
      <c r="AI32" s="57">
        <f t="shared" si="20"/>
        <v>-1.7319410138913947</v>
      </c>
      <c r="AJ32" s="91">
        <f>AH32-AG32</f>
        <v>9600.1490400000002</v>
      </c>
    </row>
    <row r="33" spans="1:36">
      <c r="A33" s="309" t="s">
        <v>480</v>
      </c>
      <c r="B33" s="310"/>
      <c r="C33" s="365">
        <f>SUM(C31:C32)</f>
        <v>-16847</v>
      </c>
      <c r="D33" s="365">
        <f t="shared" ref="D33:L33" si="21">SUM(D31:D32)</f>
        <v>-17655</v>
      </c>
      <c r="E33" s="365">
        <f t="shared" si="21"/>
        <v>-11422</v>
      </c>
      <c r="F33" s="365">
        <f t="shared" si="21"/>
        <v>-9053</v>
      </c>
      <c r="G33" s="365">
        <f t="shared" si="21"/>
        <v>-9041</v>
      </c>
      <c r="H33" s="365">
        <f t="shared" si="21"/>
        <v>-3791</v>
      </c>
      <c r="I33" s="365">
        <f t="shared" si="21"/>
        <v>3188</v>
      </c>
      <c r="J33" s="365">
        <f t="shared" si="21"/>
        <v>13022</v>
      </c>
      <c r="K33" s="365">
        <f t="shared" si="21"/>
        <v>9174</v>
      </c>
      <c r="L33" s="365">
        <f t="shared" si="21"/>
        <v>5761</v>
      </c>
      <c r="M33" s="365">
        <v>-7537</v>
      </c>
      <c r="N33" s="365">
        <v>-5707</v>
      </c>
      <c r="O33" s="365">
        <v>-9019</v>
      </c>
      <c r="P33" s="365">
        <v>-20268.479405410995</v>
      </c>
      <c r="Q33" s="8">
        <v>-3530.5003454110001</v>
      </c>
      <c r="R33" s="8">
        <f t="shared" ref="R33" si="22">SUM(R31:R32)</f>
        <v>-718.78842999999961</v>
      </c>
      <c r="S33" s="60">
        <f>IFERROR(R33/Q33-1,0)</f>
        <v>-0.79640607288587517</v>
      </c>
      <c r="T33" s="90">
        <f>R33-Q33</f>
        <v>2811.7119154110005</v>
      </c>
      <c r="U33" s="8">
        <v>-5393.4996545889999</v>
      </c>
      <c r="V33" s="8">
        <f t="shared" ref="V33" si="23">SUM(V31:V32)</f>
        <v>-4196.8023300000013</v>
      </c>
      <c r="W33" s="60">
        <f>IFERROR(V33/U33-1,0)</f>
        <v>-0.22187770487216063</v>
      </c>
      <c r="X33" s="90">
        <f>V33-U33</f>
        <v>1196.6973245889985</v>
      </c>
      <c r="Y33" s="8">
        <v>-1826</v>
      </c>
      <c r="Z33" s="8">
        <f t="shared" ref="Z33" si="24">SUM(Z31:Z32)</f>
        <v>1347.7464800000007</v>
      </c>
      <c r="AA33" s="60">
        <f>Z33/Y33-1</f>
        <v>-1.7380867907995623</v>
      </c>
      <c r="AB33" s="90">
        <f>Z33-Y33</f>
        <v>3173.7464800000007</v>
      </c>
      <c r="AC33" s="8">
        <v>-9518.4794054109971</v>
      </c>
      <c r="AD33" s="8"/>
      <c r="AE33" s="60">
        <f>AD33/AC33-1</f>
        <v>-1</v>
      </c>
      <c r="AF33" s="90">
        <f>AD33-AC33</f>
        <v>9518.4794054109971</v>
      </c>
      <c r="AG33" s="8">
        <f t="shared" ref="AG33" si="25">SUM(AG31:AG32)</f>
        <v>-10750</v>
      </c>
      <c r="AH33" s="8">
        <f>SUM(AH31:AH32)</f>
        <v>-3567.8442800000012</v>
      </c>
      <c r="AI33" s="60">
        <f>IFERROR(AH33/AG33-1,0)</f>
        <v>-0.66810750883720926</v>
      </c>
      <c r="AJ33" s="90">
        <f>AH33-AG33</f>
        <v>7182.1557199999988</v>
      </c>
    </row>
    <row r="34" spans="1:36">
      <c r="A34" s="325"/>
      <c r="B34" s="326"/>
      <c r="C34" s="361"/>
      <c r="D34" s="361"/>
      <c r="E34" s="361"/>
      <c r="F34" s="363"/>
      <c r="G34" s="7"/>
      <c r="H34" s="361"/>
      <c r="I34" s="363"/>
      <c r="J34" s="363"/>
      <c r="K34" s="363"/>
      <c r="L34" s="363"/>
      <c r="M34" s="363"/>
      <c r="N34" s="363"/>
      <c r="O34" s="363"/>
      <c r="P34" s="363"/>
      <c r="Q34" s="24"/>
      <c r="R34" s="24"/>
      <c r="S34" s="59"/>
      <c r="T34" s="58"/>
      <c r="U34" s="7"/>
      <c r="V34" s="23"/>
      <c r="W34" s="59"/>
      <c r="X34" s="58"/>
      <c r="Y34" s="7"/>
      <c r="Z34" s="23"/>
      <c r="AA34" s="59"/>
      <c r="AB34" s="58"/>
      <c r="AC34" s="7"/>
      <c r="AD34" s="23"/>
      <c r="AE34" s="59"/>
      <c r="AF34" s="58"/>
      <c r="AG34" s="24"/>
      <c r="AH34" s="24"/>
      <c r="AI34" s="59"/>
      <c r="AJ34" s="58"/>
    </row>
    <row r="35" spans="1:36">
      <c r="A35" s="309" t="s">
        <v>481</v>
      </c>
      <c r="B35" s="310"/>
      <c r="C35" s="365">
        <f>C29+C33</f>
        <v>88957</v>
      </c>
      <c r="D35" s="365">
        <f t="shared" ref="D35:L35" si="26">D29+D33</f>
        <v>63764</v>
      </c>
      <c r="E35" s="365">
        <f t="shared" si="26"/>
        <v>31522</v>
      </c>
      <c r="F35" s="365">
        <f t="shared" si="26"/>
        <v>46228</v>
      </c>
      <c r="G35" s="365">
        <f t="shared" si="26"/>
        <v>22015</v>
      </c>
      <c r="H35" s="365">
        <f t="shared" si="26"/>
        <v>-1936.0258596960339</v>
      </c>
      <c r="I35" s="365">
        <f t="shared" si="26"/>
        <v>-12084.390136322469</v>
      </c>
      <c r="J35" s="365">
        <f t="shared" si="26"/>
        <v>14369.175705245172</v>
      </c>
      <c r="K35" s="365">
        <f t="shared" si="26"/>
        <v>-122654</v>
      </c>
      <c r="L35" s="365">
        <f t="shared" si="26"/>
        <v>-28163</v>
      </c>
      <c r="M35" s="365">
        <v>28080.677914169384</v>
      </c>
      <c r="N35" s="365">
        <v>39922.616256301873</v>
      </c>
      <c r="O35" s="365">
        <v>56212.197720072669</v>
      </c>
      <c r="P35" s="365">
        <v>64834.428612485062</v>
      </c>
      <c r="Q35" s="8">
        <v>5870.1723712353705</v>
      </c>
      <c r="R35" s="8">
        <f>SUM(R29:R32)</f>
        <v>4486.9483596819609</v>
      </c>
      <c r="S35" s="60">
        <f>IFERROR(R35/Q35-1,0)</f>
        <v>-0.23563601272279366</v>
      </c>
      <c r="T35" s="90">
        <f>R35-Q35</f>
        <v>-1383.2240115534096</v>
      </c>
      <c r="U35" s="8">
        <v>20071.093218884766</v>
      </c>
      <c r="V35" s="8">
        <f>SUM(V29:V32)</f>
        <v>19095.855559101969</v>
      </c>
      <c r="W35" s="60">
        <f>IFERROR(V35/U35-1,0)</f>
        <v>-4.8589164982065003E-2</v>
      </c>
      <c r="X35" s="90">
        <f>V35-U35</f>
        <v>-975.23765978279698</v>
      </c>
      <c r="Y35" s="8">
        <v>12880.992371723609</v>
      </c>
      <c r="Z35" s="8">
        <f>SUM(Z29:Z32)</f>
        <v>18801.515667815409</v>
      </c>
      <c r="AA35" s="60">
        <f>Z35/Y35-1</f>
        <v>0.45963254423537658</v>
      </c>
      <c r="AB35" s="90">
        <f>Z35-Y35</f>
        <v>5920.5232960918001</v>
      </c>
      <c r="AC35" s="8">
        <v>26011.274114934899</v>
      </c>
      <c r="AD35" s="8"/>
      <c r="AE35" s="60">
        <f>AD35/AC35-1</f>
        <v>-1</v>
      </c>
      <c r="AF35" s="90">
        <f>AD35-AC35</f>
        <v>-26011.274114934899</v>
      </c>
      <c r="AG35" s="8">
        <f>SUM(AG29:AG32)</f>
        <v>38823.15449755016</v>
      </c>
      <c r="AH35" s="8">
        <f>SUM(AH29:AH32)</f>
        <v>42383.319586599318</v>
      </c>
      <c r="AI35" s="60">
        <f>IFERROR(AH35/AG35-1,0)</f>
        <v>9.1702107547026124E-2</v>
      </c>
      <c r="AJ35" s="90">
        <f>AH35-AG35</f>
        <v>3560.1650890491583</v>
      </c>
    </row>
    <row r="36" spans="1:36">
      <c r="A36" s="311" t="s">
        <v>7</v>
      </c>
      <c r="B36" s="311"/>
      <c r="C36" s="9">
        <v>0.33949166126016106</v>
      </c>
      <c r="D36" s="9">
        <v>0.20390442399077285</v>
      </c>
      <c r="E36" s="9">
        <v>7.2682277514483584E-2</v>
      </c>
      <c r="F36" s="9">
        <v>0.11181497364748337</v>
      </c>
      <c r="G36" s="9">
        <v>5.5412504121643218E-2</v>
      </c>
      <c r="H36" s="9">
        <v>-5.3647685992891832E-3</v>
      </c>
      <c r="I36" s="9">
        <v>-3.5533233747750505E-2</v>
      </c>
      <c r="J36" s="9">
        <v>4.7004761090305727E-2</v>
      </c>
      <c r="K36" s="9">
        <v>-0.38786939679026011</v>
      </c>
      <c r="L36" s="9">
        <v>-0.11513570748179733</v>
      </c>
      <c r="M36" s="9">
        <v>8.9314656653439725E-2</v>
      </c>
      <c r="N36" s="9">
        <v>0.11366478454488911</v>
      </c>
      <c r="O36" s="9">
        <v>0.16419665115733256</v>
      </c>
      <c r="P36" s="9">
        <v>0.16197268581518959</v>
      </c>
      <c r="Q36" s="9">
        <v>8.5363899877081761E-2</v>
      </c>
      <c r="R36" s="9">
        <f t="shared" ref="R36" si="27">R35/R8</f>
        <v>5.1764077094379329E-2</v>
      </c>
      <c r="S36" s="9"/>
      <c r="T36" s="53">
        <f>(R36-Q36)*100</f>
        <v>-3.3599822782702433</v>
      </c>
      <c r="U36" s="9">
        <v>0.20160647476647969</v>
      </c>
      <c r="V36" s="9">
        <f t="shared" ref="V36" si="28">V35/V8</f>
        <v>0.15663478842344691</v>
      </c>
      <c r="W36" s="9"/>
      <c r="X36" s="53">
        <f>(V36-U36)*100</f>
        <v>-4.4971686343032777</v>
      </c>
      <c r="Y36" s="9">
        <v>0.13604204629812303</v>
      </c>
      <c r="Z36" s="9">
        <f t="shared" ref="Z36" si="29">Z35/Z8</f>
        <v>0.17436451491091537</v>
      </c>
      <c r="AA36" s="9"/>
      <c r="AB36" s="53">
        <f>(Z36-Y36)*100</f>
        <v>3.8322468612792342</v>
      </c>
      <c r="AC36" s="9">
        <v>0.1894845411196826</v>
      </c>
      <c r="AD36" s="9"/>
      <c r="AE36" s="9"/>
      <c r="AF36" s="53">
        <f>(AD36-AC36)*100</f>
        <v>-18.94845411196826</v>
      </c>
      <c r="AG36" s="9">
        <f>AG35/AG8</f>
        <v>0.14761310339025863</v>
      </c>
      <c r="AH36" s="9">
        <f>AH35/AH8</f>
        <v>0.13394522251811378</v>
      </c>
      <c r="AI36" s="9"/>
      <c r="AJ36" s="53">
        <f>(AH36-AG36)*100</f>
        <v>-1.3667880872144851</v>
      </c>
    </row>
    <row r="37" spans="1:36">
      <c r="A37" s="325"/>
      <c r="B37" s="326"/>
      <c r="C37" s="363"/>
      <c r="D37" s="363"/>
      <c r="E37" s="363"/>
      <c r="F37" s="363"/>
      <c r="G37" s="363"/>
      <c r="H37" s="371"/>
      <c r="I37" s="363"/>
      <c r="J37" s="363"/>
      <c r="K37" s="363"/>
      <c r="L37" s="363"/>
      <c r="M37" s="363"/>
      <c r="N37" s="363"/>
      <c r="O37" s="363"/>
      <c r="P37" s="363"/>
      <c r="Q37" s="24"/>
      <c r="R37" s="24"/>
      <c r="S37" s="59"/>
      <c r="T37" s="58"/>
      <c r="U37" s="44"/>
      <c r="V37" s="44"/>
      <c r="W37" s="59"/>
      <c r="X37" s="58"/>
      <c r="Y37" s="44"/>
      <c r="Z37" s="44"/>
      <c r="AA37" s="59"/>
      <c r="AB37" s="58"/>
      <c r="AC37" s="44"/>
      <c r="AD37" s="44"/>
      <c r="AE37" s="59"/>
      <c r="AF37" s="58"/>
      <c r="AG37" s="24"/>
      <c r="AH37" s="24"/>
      <c r="AI37" s="59"/>
      <c r="AJ37" s="58"/>
    </row>
    <row r="38" spans="1:36">
      <c r="A38" s="324" t="s">
        <v>3</v>
      </c>
      <c r="B38" s="315"/>
      <c r="C38" s="372">
        <v>-3147</v>
      </c>
      <c r="D38" s="373">
        <v>-5425</v>
      </c>
      <c r="E38" s="373">
        <v>-9599</v>
      </c>
      <c r="F38" s="23">
        <v>-13148.34042</v>
      </c>
      <c r="G38" s="23">
        <v>-14029</v>
      </c>
      <c r="H38" s="373">
        <v>-13423.999999999998</v>
      </c>
      <c r="I38" s="23">
        <v>-12145</v>
      </c>
      <c r="J38" s="23">
        <v>-11276</v>
      </c>
      <c r="K38" s="23">
        <v>-12236</v>
      </c>
      <c r="L38" s="23">
        <v>-11049</v>
      </c>
      <c r="M38" s="23">
        <v>-8871</v>
      </c>
      <c r="N38" s="23">
        <v>-9751</v>
      </c>
      <c r="O38" s="23">
        <v>-9580</v>
      </c>
      <c r="P38" s="23">
        <v>-10537</v>
      </c>
      <c r="Q38" s="23">
        <v>-2436</v>
      </c>
      <c r="R38" s="23">
        <v>-2683</v>
      </c>
      <c r="S38" s="64">
        <f>IFERROR(R38/Q38-1,0)</f>
        <v>0.10139573070607555</v>
      </c>
      <c r="T38" s="91">
        <f>R38-Q38</f>
        <v>-247</v>
      </c>
      <c r="U38" s="23">
        <v>-2511</v>
      </c>
      <c r="V38" s="23">
        <v>-2841</v>
      </c>
      <c r="W38" s="64">
        <f>IFERROR(V38/U38-1,0)</f>
        <v>0.13142174432497011</v>
      </c>
      <c r="X38" s="91">
        <f>V38-U38</f>
        <v>-330</v>
      </c>
      <c r="Y38" s="23">
        <v>-2942</v>
      </c>
      <c r="Z38" s="23">
        <v>-2883</v>
      </c>
      <c r="AA38" s="57">
        <f t="shared" ref="AA38:AA43" si="30">Z38/Y38-1</f>
        <v>-2.0054384772263734E-2</v>
      </c>
      <c r="AB38" s="91">
        <f t="shared" ref="AB38:AB50" si="31">Z38-Y38</f>
        <v>59</v>
      </c>
      <c r="AC38" s="23">
        <v>-2648</v>
      </c>
      <c r="AD38" s="23"/>
      <c r="AE38" s="57">
        <f>AD38/AC38-1</f>
        <v>-1</v>
      </c>
      <c r="AF38" s="91">
        <f t="shared" ref="AF38:AF43" si="32">AD38-AC38</f>
        <v>2648</v>
      </c>
      <c r="AG38" s="23">
        <f>Q38+U38+Y38</f>
        <v>-7889</v>
      </c>
      <c r="AH38" s="23">
        <f t="shared" ref="AH38:AH43" si="33">R38+V38+Z38+AD38</f>
        <v>-8407</v>
      </c>
      <c r="AI38" s="57">
        <f>IFERROR(AH38/AG38-1,0)</f>
        <v>6.5661047027506747E-2</v>
      </c>
      <c r="AJ38" s="91">
        <f>AH38-AG38</f>
        <v>-518</v>
      </c>
    </row>
    <row r="39" spans="1:36">
      <c r="A39" s="324" t="s">
        <v>482</v>
      </c>
      <c r="B39" s="315"/>
      <c r="C39" s="372">
        <v>7189</v>
      </c>
      <c r="D39" s="373">
        <v>11074</v>
      </c>
      <c r="E39" s="373">
        <v>13116</v>
      </c>
      <c r="F39" s="23">
        <v>16594.183259999998</v>
      </c>
      <c r="G39" s="23">
        <v>39829.427649999998</v>
      </c>
      <c r="H39" s="373">
        <v>60361.674559999999</v>
      </c>
      <c r="I39" s="23">
        <v>30370.459159999999</v>
      </c>
      <c r="J39" s="23">
        <v>70839.439969999978</v>
      </c>
      <c r="K39" s="23">
        <v>32650.937389999999</v>
      </c>
      <c r="L39" s="23">
        <v>51557</v>
      </c>
      <c r="M39" s="23">
        <v>7381.5167577351585</v>
      </c>
      <c r="N39" s="23">
        <v>16031.365390000003</v>
      </c>
      <c r="O39" s="23">
        <v>16007.603759999996</v>
      </c>
      <c r="P39" s="23">
        <v>30033.440440000006</v>
      </c>
      <c r="Q39" s="23">
        <v>3151.5088500000002</v>
      </c>
      <c r="R39" s="23">
        <v>4007.4419100000005</v>
      </c>
      <c r="S39" s="64">
        <f>IFERROR(R39/Q39-1,0)</f>
        <v>0.27159468709726142</v>
      </c>
      <c r="T39" s="91">
        <f>R39-Q39</f>
        <v>855.9330600000003</v>
      </c>
      <c r="U39" s="23">
        <v>6655.9331000000011</v>
      </c>
      <c r="V39" s="23">
        <v>6502.6461699999973</v>
      </c>
      <c r="W39" s="64">
        <f>IFERROR(V39/U39-1,0)</f>
        <v>-2.3030118797318422E-2</v>
      </c>
      <c r="X39" s="91">
        <f>V39-U39</f>
        <v>-153.28693000000385</v>
      </c>
      <c r="Y39" s="23">
        <v>5374.6025400000017</v>
      </c>
      <c r="Z39" s="23">
        <v>5911.3016199999993</v>
      </c>
      <c r="AA39" s="57">
        <f t="shared" si="30"/>
        <v>9.9858375760005114E-2</v>
      </c>
      <c r="AB39" s="91">
        <f t="shared" si="31"/>
        <v>536.69907999999759</v>
      </c>
      <c r="AC39" s="23">
        <v>14851.395950000002</v>
      </c>
      <c r="AD39" s="23"/>
      <c r="AE39" s="57">
        <f>AD39/AC39-1</f>
        <v>-1</v>
      </c>
      <c r="AF39" s="91">
        <f t="shared" si="32"/>
        <v>-14851.395950000002</v>
      </c>
      <c r="AG39" s="23">
        <f t="shared" ref="AG39:AG43" si="34">Q39+U39+Y39</f>
        <v>15182.044490000002</v>
      </c>
      <c r="AH39" s="23">
        <f t="shared" si="33"/>
        <v>16421.389699999996</v>
      </c>
      <c r="AI39" s="57">
        <f>IFERROR(AH39/AG39-1,0)</f>
        <v>8.1632299972267619E-2</v>
      </c>
      <c r="AJ39" s="91">
        <f>AH39-AG39</f>
        <v>1239.345209999994</v>
      </c>
    </row>
    <row r="40" spans="1:36">
      <c r="A40" s="324" t="s">
        <v>483</v>
      </c>
      <c r="B40" s="315"/>
      <c r="C40" s="372">
        <v>9403</v>
      </c>
      <c r="D40" s="372">
        <v>8960</v>
      </c>
      <c r="E40" s="372">
        <v>10648.179258574701</v>
      </c>
      <c r="F40" s="23">
        <v>14081.99249759946</v>
      </c>
      <c r="G40" s="23">
        <v>17594.58786</v>
      </c>
      <c r="H40" s="373">
        <v>18027.933370203027</v>
      </c>
      <c r="I40" s="23">
        <v>12260.450229373513</v>
      </c>
      <c r="J40" s="23">
        <v>12031.857803829414</v>
      </c>
      <c r="K40" s="23">
        <v>7687.4019227921626</v>
      </c>
      <c r="L40" s="23">
        <v>3071</v>
      </c>
      <c r="M40" s="23">
        <v>4864.4832422648415</v>
      </c>
      <c r="N40" s="23">
        <v>11121.449176155087</v>
      </c>
      <c r="O40" s="23">
        <v>14633.584358987637</v>
      </c>
      <c r="P40" s="23">
        <v>13369.902473635977</v>
      </c>
      <c r="Q40" s="23">
        <v>3271.5946142935682</v>
      </c>
      <c r="R40" s="23">
        <v>3794.3004044555428</v>
      </c>
      <c r="S40" s="64">
        <f t="shared" ref="S40:S42" si="35">IFERROR(R40/Q40-1,0)</f>
        <v>0.15977095324655366</v>
      </c>
      <c r="T40" s="91">
        <f t="shared" ref="T40:T43" si="36">R40-Q40</f>
        <v>522.70579016197462</v>
      </c>
      <c r="U40" s="23">
        <v>3124.345991997342</v>
      </c>
      <c r="V40" s="23">
        <v>4558.9724094277735</v>
      </c>
      <c r="W40" s="64">
        <f t="shared" ref="W40:W42" si="37">IFERROR(V40/U40-1,0)</f>
        <v>0.45917655122226031</v>
      </c>
      <c r="X40" s="91">
        <f t="shared" ref="X40:X43" si="38">V40-U40</f>
        <v>1434.6264174304315</v>
      </c>
      <c r="Y40" s="23">
        <v>3272.279457282315</v>
      </c>
      <c r="Z40" s="23">
        <v>5175.7201102790395</v>
      </c>
      <c r="AA40" s="57">
        <f t="shared" si="30"/>
        <v>0.5816864598042506</v>
      </c>
      <c r="AB40" s="91">
        <f t="shared" si="31"/>
        <v>1903.4406529967246</v>
      </c>
      <c r="AC40" s="23">
        <v>3701.6824100627505</v>
      </c>
      <c r="AD40" s="23"/>
      <c r="AE40" s="57">
        <f>AD40/AC40-1</f>
        <v>-1</v>
      </c>
      <c r="AF40" s="91">
        <f t="shared" si="32"/>
        <v>-3701.6824100627505</v>
      </c>
      <c r="AG40" s="23">
        <f t="shared" si="34"/>
        <v>9668.2200635732261</v>
      </c>
      <c r="AH40" s="23">
        <f t="shared" si="33"/>
        <v>13528.992924162354</v>
      </c>
      <c r="AI40" s="57">
        <f t="shared" ref="AI40:AI42" si="39">IFERROR(AH40/AG40-1,0)</f>
        <v>0.39932612571938564</v>
      </c>
      <c r="AJ40" s="91">
        <f t="shared" ref="AJ40:AJ43" si="40">AH40-AG40</f>
        <v>3860.772860589128</v>
      </c>
    </row>
    <row r="41" spans="1:36">
      <c r="A41" s="324" t="s">
        <v>474</v>
      </c>
      <c r="B41" s="315"/>
      <c r="C41" s="372">
        <v>-9288</v>
      </c>
      <c r="D41" s="372">
        <v>-3374</v>
      </c>
      <c r="E41" s="372">
        <v>-29310</v>
      </c>
      <c r="F41" s="23">
        <v>-40568.457139999999</v>
      </c>
      <c r="G41" s="23">
        <v>-58735.880399999995</v>
      </c>
      <c r="H41" s="373">
        <v>-86070.56035</v>
      </c>
      <c r="I41" s="23">
        <v>-45898.370999999999</v>
      </c>
      <c r="J41" s="23">
        <v>-78624.831690000006</v>
      </c>
      <c r="K41" s="23">
        <v>-45516.928039999999</v>
      </c>
      <c r="L41" s="23">
        <v>-78936</v>
      </c>
      <c r="M41" s="23">
        <v>-27277</v>
      </c>
      <c r="N41" s="23">
        <v>-37122.594119999994</v>
      </c>
      <c r="O41" s="23">
        <v>-27125.163770000003</v>
      </c>
      <c r="P41" s="23">
        <v>-25067.360719999997</v>
      </c>
      <c r="Q41" s="23">
        <v>-1367.2563799999998</v>
      </c>
      <c r="R41" s="23">
        <v>-7636.7620100000013</v>
      </c>
      <c r="S41" s="64">
        <f t="shared" si="35"/>
        <v>4.5854645271430385</v>
      </c>
      <c r="T41" s="91">
        <f t="shared" si="36"/>
        <v>-6269.5056300000015</v>
      </c>
      <c r="U41" s="23">
        <v>-3450.2781800000012</v>
      </c>
      <c r="V41" s="23">
        <v>-11048.701899999996</v>
      </c>
      <c r="W41" s="64">
        <f t="shared" si="37"/>
        <v>2.2022640852686242</v>
      </c>
      <c r="X41" s="91">
        <f t="shared" si="38"/>
        <v>-7598.4237199999952</v>
      </c>
      <c r="Y41" s="23">
        <v>-8572.800849999996</v>
      </c>
      <c r="Z41" s="23">
        <v>-9441.7076799999959</v>
      </c>
      <c r="AA41" s="57">
        <f t="shared" si="30"/>
        <v>0.10135623645100766</v>
      </c>
      <c r="AB41" s="91">
        <f t="shared" si="31"/>
        <v>-868.9068299999999</v>
      </c>
      <c r="AC41" s="23">
        <v>-11677.025309999999</v>
      </c>
      <c r="AD41" s="23"/>
      <c r="AE41" s="57">
        <f>AD41/AC41-1</f>
        <v>-1</v>
      </c>
      <c r="AF41" s="91">
        <f t="shared" si="32"/>
        <v>11677.025309999999</v>
      </c>
      <c r="AG41" s="23">
        <f t="shared" si="34"/>
        <v>-13390.335409999996</v>
      </c>
      <c r="AH41" s="23">
        <f t="shared" si="33"/>
        <v>-28127.171589999994</v>
      </c>
      <c r="AI41" s="57">
        <f t="shared" si="39"/>
        <v>1.1005576580997682</v>
      </c>
      <c r="AJ41" s="91">
        <f t="shared" si="40"/>
        <v>-14736.836179999998</v>
      </c>
    </row>
    <row r="42" spans="1:36">
      <c r="A42" s="324" t="s">
        <v>484</v>
      </c>
      <c r="B42" s="315"/>
      <c r="C42" s="373">
        <v>-2070</v>
      </c>
      <c r="D42" s="374">
        <v>-6459</v>
      </c>
      <c r="E42" s="374">
        <v>-7106.2640999999985</v>
      </c>
      <c r="F42" s="23">
        <v>-7079.9619980000007</v>
      </c>
      <c r="G42" s="23">
        <v>-7222.3714499999996</v>
      </c>
      <c r="H42" s="373">
        <v>178.67804999999998</v>
      </c>
      <c r="I42" s="23">
        <v>0</v>
      </c>
      <c r="J42" s="23">
        <v>0</v>
      </c>
      <c r="K42" s="23">
        <v>-7.1155999999999997</v>
      </c>
      <c r="L42" s="23">
        <v>-1892</v>
      </c>
      <c r="M42" s="23">
        <v>-1567.9252200000001</v>
      </c>
      <c r="N42" s="23">
        <v>-6822.4998500000002</v>
      </c>
      <c r="O42" s="23">
        <v>-2620.7553816129998</v>
      </c>
      <c r="P42" s="23">
        <v>-11520.847135410999</v>
      </c>
      <c r="Q42" s="23">
        <v>-724.82547541100007</v>
      </c>
      <c r="R42" s="23">
        <f>R31</f>
        <v>-6079.5761400000001</v>
      </c>
      <c r="S42" s="64">
        <f t="shared" si="35"/>
        <v>7.3876413650509161</v>
      </c>
      <c r="T42" s="91">
        <f t="shared" si="36"/>
        <v>-5354.7506645889998</v>
      </c>
      <c r="U42" s="23">
        <v>-1726.7003300000001</v>
      </c>
      <c r="V42" s="23">
        <v>-6053.87554</v>
      </c>
      <c r="W42" s="64">
        <f t="shared" si="37"/>
        <v>2.506037170908515</v>
      </c>
      <c r="X42" s="91">
        <f t="shared" si="38"/>
        <v>-4327.1752099999994</v>
      </c>
      <c r="Y42" s="23">
        <v>-2756.4472499999997</v>
      </c>
      <c r="Z42" s="23">
        <v>4508.4583600000005</v>
      </c>
      <c r="AA42" s="57">
        <f t="shared" si="30"/>
        <v>-2.6356048025225229</v>
      </c>
      <c r="AB42" s="91">
        <f t="shared" si="31"/>
        <v>7264.9056099999998</v>
      </c>
      <c r="AC42" s="23">
        <v>-6312.8740799999996</v>
      </c>
      <c r="AD42" s="23"/>
      <c r="AE42" s="57"/>
      <c r="AF42" s="91">
        <f t="shared" si="32"/>
        <v>6312.8740799999996</v>
      </c>
      <c r="AG42" s="23">
        <f t="shared" si="34"/>
        <v>-5207.9730554109992</v>
      </c>
      <c r="AH42" s="23">
        <f t="shared" si="33"/>
        <v>-7624.9933199999996</v>
      </c>
      <c r="AI42" s="57">
        <f t="shared" si="39"/>
        <v>0.46409999415756498</v>
      </c>
      <c r="AJ42" s="91">
        <f t="shared" si="40"/>
        <v>-2417.0202645890004</v>
      </c>
    </row>
    <row r="43" spans="1:36">
      <c r="A43" s="324" t="s">
        <v>485</v>
      </c>
      <c r="B43" s="315"/>
      <c r="C43" s="372">
        <v>-10855</v>
      </c>
      <c r="D43" s="372">
        <v>-11196</v>
      </c>
      <c r="E43" s="372">
        <v>-4178</v>
      </c>
      <c r="F43" s="23">
        <v>-1908.3374199999998</v>
      </c>
      <c r="G43" s="23">
        <v>-1818.1681300000002</v>
      </c>
      <c r="H43" s="373">
        <v>-3969.3795699999991</v>
      </c>
      <c r="I43" s="23">
        <v>3187.1885900000002</v>
      </c>
      <c r="J43" s="23">
        <v>13022.907749999993</v>
      </c>
      <c r="K43" s="23">
        <v>9172.2312099999999</v>
      </c>
      <c r="L43" s="23">
        <v>7653</v>
      </c>
      <c r="M43" s="23">
        <v>-5967.9754800000001</v>
      </c>
      <c r="N43" s="23">
        <v>1115.0376599999995</v>
      </c>
      <c r="O43" s="23">
        <v>-6397.8176800000001</v>
      </c>
      <c r="P43" s="23">
        <v>-8747.6322700000019</v>
      </c>
      <c r="Q43" s="23">
        <v>-2805.6748700000003</v>
      </c>
      <c r="R43" s="23">
        <f>R32</f>
        <v>5360.7877100000005</v>
      </c>
      <c r="S43" s="64">
        <f>IFERROR(R43/Q43-1,0)</f>
        <v>-2.9106945595588556</v>
      </c>
      <c r="T43" s="91">
        <f t="shared" si="36"/>
        <v>8166.4625800000013</v>
      </c>
      <c r="U43" s="23">
        <v>-3667.79448</v>
      </c>
      <c r="V43" s="23">
        <v>1857.0732099999998</v>
      </c>
      <c r="W43" s="64">
        <f>IFERROR(V43/U43-1,0)</f>
        <v>-1.5063187755274663</v>
      </c>
      <c r="X43" s="91">
        <f t="shared" si="38"/>
        <v>5524.86769</v>
      </c>
      <c r="Y43" s="23">
        <v>930.34099999999989</v>
      </c>
      <c r="Z43" s="23">
        <v>-3160.7118799999998</v>
      </c>
      <c r="AA43" s="57">
        <f t="shared" si="30"/>
        <v>-4.3973692226828653</v>
      </c>
      <c r="AB43" s="91">
        <f t="shared" si="31"/>
        <v>-4091.0528799999997</v>
      </c>
      <c r="AC43" s="23">
        <v>-3204.5039200000001</v>
      </c>
      <c r="AD43" s="23"/>
      <c r="AE43" s="57">
        <f>AD43/AC43-1</f>
        <v>-1</v>
      </c>
      <c r="AF43" s="91">
        <f t="shared" si="32"/>
        <v>3204.5039200000001</v>
      </c>
      <c r="AG43" s="23">
        <f t="shared" si="34"/>
        <v>-5543.1283500000009</v>
      </c>
      <c r="AH43" s="23">
        <f t="shared" si="33"/>
        <v>4057.1490400000002</v>
      </c>
      <c r="AI43" s="57">
        <f>IFERROR(AH43/AG43-1,0)</f>
        <v>-1.7319240659473454</v>
      </c>
      <c r="AJ43" s="91">
        <f t="shared" si="40"/>
        <v>9600.2773900000011</v>
      </c>
    </row>
    <row r="44" spans="1:36">
      <c r="A44" s="309" t="s">
        <v>54</v>
      </c>
      <c r="B44" s="310"/>
      <c r="C44" s="365">
        <f>C35-SUM(C38:C43)</f>
        <v>97725</v>
      </c>
      <c r="D44" s="365">
        <f t="shared" ref="D44:L44" si="41">D35-SUM(D38:D43)</f>
        <v>70184</v>
      </c>
      <c r="E44" s="365">
        <f t="shared" si="41"/>
        <v>57951.084841425298</v>
      </c>
      <c r="F44" s="365">
        <f t="shared" si="41"/>
        <v>78256.921220400545</v>
      </c>
      <c r="G44" s="365">
        <f t="shared" si="41"/>
        <v>46396.404469999994</v>
      </c>
      <c r="H44" s="365">
        <f t="shared" si="41"/>
        <v>22959.628080100942</v>
      </c>
      <c r="I44" s="365">
        <f t="shared" si="41"/>
        <v>140.88288430401917</v>
      </c>
      <c r="J44" s="365">
        <f t="shared" si="41"/>
        <v>8375.8018714157861</v>
      </c>
      <c r="K44" s="365">
        <f t="shared" si="41"/>
        <v>-114404.52688279217</v>
      </c>
      <c r="L44" s="365">
        <f t="shared" si="41"/>
        <v>1433</v>
      </c>
      <c r="M44" s="365">
        <v>59518.578614169382</v>
      </c>
      <c r="N44" s="365">
        <v>65350.858000146785</v>
      </c>
      <c r="O44" s="365">
        <v>71294.746432698041</v>
      </c>
      <c r="P44" s="365">
        <v>77303.925824260077</v>
      </c>
      <c r="Q44" s="27">
        <v>6780.8256323528021</v>
      </c>
      <c r="R44" s="8">
        <f>R35-SUM(R38:R43)</f>
        <v>7723.7564852264186</v>
      </c>
      <c r="S44" s="60">
        <f>IFERROR(R44/Q44-1,0)</f>
        <v>0.13905841323727408</v>
      </c>
      <c r="T44" s="90">
        <f>R44-Q44</f>
        <v>942.93085287361646</v>
      </c>
      <c r="U44" s="8">
        <v>21646.587116887422</v>
      </c>
      <c r="V44" s="8">
        <f>V35-SUM(V38:V43)</f>
        <v>26120.741209674197</v>
      </c>
      <c r="W44" s="60">
        <f>IFERROR(V44/U44-1,0)</f>
        <v>0.20669097020362615</v>
      </c>
      <c r="X44" s="90">
        <f>V44-U44</f>
        <v>4474.1540927867754</v>
      </c>
      <c r="Y44" s="8">
        <v>17575.017474441287</v>
      </c>
      <c r="Z44" s="8">
        <f>Z35-SUM(Z38:Z43)</f>
        <v>18691.455137536366</v>
      </c>
      <c r="AA44" s="60">
        <f>IFERROR(Z44/Y44-1,0)</f>
        <v>6.3524128196098539E-2</v>
      </c>
      <c r="AB44" s="90">
        <f>Z44-Y44</f>
        <v>1116.4376630950792</v>
      </c>
      <c r="AC44" s="8">
        <v>31300.599064872145</v>
      </c>
      <c r="AD44" s="8"/>
      <c r="AE44" s="60">
        <f>IFERROR(AD44/AC44-1,0)</f>
        <v>-1</v>
      </c>
      <c r="AF44" s="90">
        <f>AD44-AC44</f>
        <v>-31300.599064872145</v>
      </c>
      <c r="AG44" s="8">
        <f>AG35-SUM(AG38:AG43)</f>
        <v>46003.326759387928</v>
      </c>
      <c r="AH44" s="8">
        <f>AH35-SUM(AH38:AH43)</f>
        <v>52534.95283243696</v>
      </c>
      <c r="AI44" s="60">
        <f>IFERROR(AH44/AG44-1,0)</f>
        <v>0.14198160292214346</v>
      </c>
      <c r="AJ44" s="90">
        <f>AH44-AG44</f>
        <v>6531.6260730490321</v>
      </c>
    </row>
    <row r="45" spans="1:36">
      <c r="A45" s="341" t="s">
        <v>486</v>
      </c>
      <c r="B45" s="344"/>
      <c r="C45" s="375">
        <v>22621</v>
      </c>
      <c r="D45" s="375">
        <v>1706.677077851524</v>
      </c>
      <c r="E45" s="375">
        <v>-799.577</v>
      </c>
      <c r="F45" s="23">
        <v>-1206.526360097015</v>
      </c>
      <c r="G45" s="23">
        <v>-63.302908076515223</v>
      </c>
      <c r="H45" s="375">
        <v>-1883.306</v>
      </c>
      <c r="I45" s="23">
        <v>-2125.4444765631001</v>
      </c>
      <c r="J45" s="23">
        <v>-963.05533319572203</v>
      </c>
      <c r="K45" s="23">
        <v>-9653.600019999998</v>
      </c>
      <c r="L45" s="23">
        <v>1612</v>
      </c>
      <c r="M45" s="23">
        <v>-2857</v>
      </c>
      <c r="N45" s="23">
        <v>-3656</v>
      </c>
      <c r="O45" s="23">
        <v>-2805.5360900000001</v>
      </c>
      <c r="P45" s="23">
        <v>-1784.0140200000001</v>
      </c>
      <c r="Q45" s="23">
        <v>-584</v>
      </c>
      <c r="R45" s="23">
        <v>-598.73218000000008</v>
      </c>
      <c r="S45" s="64">
        <f>IFERROR(R45/Q45-1,0)</f>
        <v>2.5226335616438611E-2</v>
      </c>
      <c r="T45" s="91">
        <f t="shared" ref="T45:T51" si="42">R45-Q45</f>
        <v>-14.732180000000085</v>
      </c>
      <c r="U45" s="23">
        <v>-647</v>
      </c>
      <c r="V45" s="23">
        <v>-483.44676999999996</v>
      </c>
      <c r="W45" s="64">
        <f>IFERROR(V45/U45-1,0)</f>
        <v>-0.25278706336939727</v>
      </c>
      <c r="X45" s="91">
        <f t="shared" ref="X45:X51" si="43">V45-U45</f>
        <v>163.55323000000004</v>
      </c>
      <c r="Y45" s="23">
        <v>-380.59745000000004</v>
      </c>
      <c r="Z45" s="23">
        <v>-607.02332000000001</v>
      </c>
      <c r="AA45" s="57">
        <f>Z45/Y45-1</f>
        <v>0.59492219403992319</v>
      </c>
      <c r="AB45" s="91">
        <f t="shared" si="31"/>
        <v>-226.42586999999997</v>
      </c>
      <c r="AC45" s="23">
        <v>-172.41657000000001</v>
      </c>
      <c r="AD45" s="23"/>
      <c r="AE45" s="57">
        <f>AD45/AC45-1</f>
        <v>-1</v>
      </c>
      <c r="AF45" s="91">
        <f t="shared" ref="AF45:AF50" si="44">AD45-AC45</f>
        <v>172.41657000000001</v>
      </c>
      <c r="AG45" s="23">
        <f>Q45+U45+Y45</f>
        <v>-1611.59745</v>
      </c>
      <c r="AH45" s="23">
        <f>R45+V45+Z45+AD45</f>
        <v>-1689.20227</v>
      </c>
      <c r="AI45" s="57">
        <f>IFERROR(AH45/AG45-1,0)</f>
        <v>4.8153972941568091E-2</v>
      </c>
      <c r="AJ45" s="91">
        <f t="shared" ref="AJ45:AJ50" si="45">AH45-AG45</f>
        <v>-77.604820000000018</v>
      </c>
    </row>
    <row r="46" spans="1:36">
      <c r="A46" s="342" t="s">
        <v>487</v>
      </c>
      <c r="B46" s="343"/>
      <c r="C46" s="375">
        <v>7150</v>
      </c>
      <c r="D46" s="375">
        <v>-1159.8243400000001</v>
      </c>
      <c r="E46" s="375">
        <v>-11678.14939</v>
      </c>
      <c r="F46" s="23">
        <v>1037.0412756000001</v>
      </c>
      <c r="G46" s="23">
        <v>-19758.476630000001</v>
      </c>
      <c r="H46" s="375">
        <v>-1616.67</v>
      </c>
      <c r="I46" s="23">
        <v>-6900</v>
      </c>
      <c r="J46" s="23">
        <v>-19498</v>
      </c>
      <c r="K46" s="23">
        <v>-1528</v>
      </c>
      <c r="L46" s="23">
        <v>-2639</v>
      </c>
      <c r="M46" s="23">
        <v>4568</v>
      </c>
      <c r="N46" s="23">
        <v>0</v>
      </c>
      <c r="O46" s="23">
        <v>1653</v>
      </c>
      <c r="P46" s="23">
        <v>0</v>
      </c>
      <c r="Q46" s="23">
        <v>0</v>
      </c>
      <c r="R46" s="23">
        <v>0</v>
      </c>
      <c r="S46" s="64">
        <f>IFERROR(R46/Q46-1,0)</f>
        <v>0</v>
      </c>
      <c r="T46" s="91">
        <f t="shared" si="42"/>
        <v>0</v>
      </c>
      <c r="U46" s="23"/>
      <c r="V46" s="23"/>
      <c r="W46" s="64">
        <f>IFERROR(V46/U46-1,0)</f>
        <v>0</v>
      </c>
      <c r="X46" s="91">
        <f t="shared" si="43"/>
        <v>0</v>
      </c>
      <c r="Y46" s="23"/>
      <c r="Z46" s="23"/>
      <c r="AA46" s="57">
        <f>IFERROR(Z46/Y46-1,0)</f>
        <v>0</v>
      </c>
      <c r="AB46" s="91">
        <f t="shared" si="31"/>
        <v>0</v>
      </c>
      <c r="AC46" s="23">
        <v>0</v>
      </c>
      <c r="AD46" s="23"/>
      <c r="AE46" s="57">
        <f>IFERROR(AD46/AC46-1,0)</f>
        <v>0</v>
      </c>
      <c r="AF46" s="91">
        <f t="shared" si="44"/>
        <v>0</v>
      </c>
      <c r="AG46" s="23">
        <f t="shared" ref="AG46:AG50" si="46">Q46+U46+Y46</f>
        <v>0</v>
      </c>
      <c r="AH46" s="23">
        <f>R46+V46+Z46+AD46</f>
        <v>0</v>
      </c>
      <c r="AI46" s="57">
        <f>IFERROR(AH46/AG46-1,0)</f>
        <v>0</v>
      </c>
      <c r="AJ46" s="91">
        <f t="shared" si="45"/>
        <v>0</v>
      </c>
    </row>
    <row r="47" spans="1:36">
      <c r="A47" s="342" t="s">
        <v>488</v>
      </c>
      <c r="B47" s="343"/>
      <c r="C47" s="372">
        <v>0</v>
      </c>
      <c r="D47" s="375">
        <v>0</v>
      </c>
      <c r="E47" s="372">
        <v>-743.67</v>
      </c>
      <c r="F47" s="23">
        <v>-1509.1870000000001</v>
      </c>
      <c r="G47" s="23">
        <v>5375.1013999999996</v>
      </c>
      <c r="H47" s="375">
        <v>0</v>
      </c>
      <c r="I47" s="23"/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64">
        <f>IFERROR(R47/Q47-1,0)</f>
        <v>0</v>
      </c>
      <c r="T47" s="91">
        <f t="shared" si="42"/>
        <v>0</v>
      </c>
      <c r="U47" s="23"/>
      <c r="V47" s="23"/>
      <c r="W47" s="64">
        <f>IFERROR(V47/U47-1,0)</f>
        <v>0</v>
      </c>
      <c r="X47" s="91">
        <f t="shared" si="43"/>
        <v>0</v>
      </c>
      <c r="Y47" s="23"/>
      <c r="Z47" s="23"/>
      <c r="AA47" s="57">
        <f>IFERROR(Z47/Y47-1,0)</f>
        <v>0</v>
      </c>
      <c r="AB47" s="91">
        <f t="shared" si="31"/>
        <v>0</v>
      </c>
      <c r="AC47" s="23">
        <v>0</v>
      </c>
      <c r="AD47" s="23"/>
      <c r="AE47" s="57">
        <f>IFERROR(AD47/AC47-1,0)</f>
        <v>0</v>
      </c>
      <c r="AF47" s="91">
        <f t="shared" si="44"/>
        <v>0</v>
      </c>
      <c r="AG47" s="23">
        <f t="shared" si="46"/>
        <v>0</v>
      </c>
      <c r="AH47" s="23">
        <f>R47+V47+Z47+AD47</f>
        <v>0</v>
      </c>
      <c r="AI47" s="57">
        <f>IFERROR(AH47/AG47-1,0)</f>
        <v>0</v>
      </c>
      <c r="AJ47" s="91">
        <f t="shared" si="45"/>
        <v>0</v>
      </c>
    </row>
    <row r="48" spans="1:36">
      <c r="A48" s="342" t="s">
        <v>489</v>
      </c>
      <c r="B48" s="343"/>
      <c r="C48" s="372">
        <v>0</v>
      </c>
      <c r="D48" s="375">
        <v>0</v>
      </c>
      <c r="E48" s="372">
        <v>-4554.58554</v>
      </c>
      <c r="F48" s="23">
        <v>-2635.1899100000001</v>
      </c>
      <c r="G48" s="23">
        <v>-771.45402000000001</v>
      </c>
      <c r="H48" s="375">
        <v>-78.071079999999995</v>
      </c>
      <c r="I48" s="23">
        <v>-131.54944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64">
        <f t="shared" ref="S48:S51" si="47">IFERROR(R48/Q48-1,0)</f>
        <v>0</v>
      </c>
      <c r="T48" s="91">
        <f t="shared" si="42"/>
        <v>0</v>
      </c>
      <c r="U48" s="23"/>
      <c r="V48" s="23"/>
      <c r="W48" s="64">
        <f t="shared" ref="W48:W51" si="48">IFERROR(V48/U48-1,0)</f>
        <v>0</v>
      </c>
      <c r="X48" s="91">
        <f t="shared" si="43"/>
        <v>0</v>
      </c>
      <c r="Y48" s="23"/>
      <c r="Z48" s="23"/>
      <c r="AA48" s="57">
        <f t="shared" ref="AA48:AA49" si="49">IFERROR(Z48/Y48-1,0)</f>
        <v>0</v>
      </c>
      <c r="AB48" s="91">
        <f t="shared" si="31"/>
        <v>0</v>
      </c>
      <c r="AC48" s="23">
        <v>0</v>
      </c>
      <c r="AD48" s="23"/>
      <c r="AE48" s="57" t="e">
        <f>AD48/AC48-1</f>
        <v>#DIV/0!</v>
      </c>
      <c r="AF48" s="91">
        <f t="shared" si="44"/>
        <v>0</v>
      </c>
      <c r="AG48" s="23">
        <f t="shared" si="46"/>
        <v>0</v>
      </c>
      <c r="AH48" s="23">
        <f t="shared" ref="AH48" si="50">R48+V48+Z48+AD48</f>
        <v>0</v>
      </c>
      <c r="AI48" s="57">
        <f t="shared" ref="AI48:AI50" si="51">IFERROR(AH48/AG48-1,0)</f>
        <v>0</v>
      </c>
      <c r="AJ48" s="91">
        <f t="shared" si="45"/>
        <v>0</v>
      </c>
    </row>
    <row r="49" spans="1:36">
      <c r="A49" s="324" t="s">
        <v>490</v>
      </c>
      <c r="B49" s="315"/>
      <c r="C49" s="372">
        <v>-877</v>
      </c>
      <c r="D49" s="375">
        <v>0</v>
      </c>
      <c r="E49" s="372">
        <v>0</v>
      </c>
      <c r="F49" s="23">
        <v>0</v>
      </c>
      <c r="G49" s="23">
        <v>0</v>
      </c>
      <c r="H49" s="375"/>
      <c r="I49" s="23">
        <v>-2037.0375099999999</v>
      </c>
      <c r="J49" s="23">
        <v>-1203.26125</v>
      </c>
      <c r="K49" s="23">
        <v>-1402.3747800000001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64">
        <f t="shared" si="47"/>
        <v>0</v>
      </c>
      <c r="T49" s="91">
        <f t="shared" si="42"/>
        <v>0</v>
      </c>
      <c r="U49" s="23"/>
      <c r="V49" s="23"/>
      <c r="W49" s="64">
        <f t="shared" si="48"/>
        <v>0</v>
      </c>
      <c r="X49" s="91">
        <f t="shared" si="43"/>
        <v>0</v>
      </c>
      <c r="Y49" s="23"/>
      <c r="Z49" s="23"/>
      <c r="AA49" s="57">
        <f t="shared" si="49"/>
        <v>0</v>
      </c>
      <c r="AB49" s="91">
        <f t="shared" si="31"/>
        <v>0</v>
      </c>
      <c r="AC49" s="23">
        <v>0</v>
      </c>
      <c r="AD49" s="23"/>
      <c r="AE49" s="57" t="e">
        <f>AD49/AC49-1</f>
        <v>#DIV/0!</v>
      </c>
      <c r="AF49" s="91">
        <f t="shared" si="44"/>
        <v>0</v>
      </c>
      <c r="AG49" s="23">
        <f t="shared" si="46"/>
        <v>0</v>
      </c>
      <c r="AH49" s="23">
        <f>R49+V49+Z49+AD49</f>
        <v>0</v>
      </c>
      <c r="AI49" s="57">
        <f t="shared" si="51"/>
        <v>0</v>
      </c>
      <c r="AJ49" s="91">
        <f t="shared" si="45"/>
        <v>0</v>
      </c>
    </row>
    <row r="50" spans="1:36">
      <c r="A50" s="342" t="s">
        <v>491</v>
      </c>
      <c r="B50" s="343"/>
      <c r="C50" s="372">
        <v>-9892</v>
      </c>
      <c r="D50" s="375">
        <v>-2424.9584500000001</v>
      </c>
      <c r="E50" s="372">
        <v>-6241.5990000000002</v>
      </c>
      <c r="F50" s="23">
        <v>-3830.0338200000001</v>
      </c>
      <c r="G50" s="23">
        <v>-4099.9849999999997</v>
      </c>
      <c r="H50" s="375">
        <v>-2997.5649900000003</v>
      </c>
      <c r="I50" s="23">
        <v>-10679.379724250022</v>
      </c>
      <c r="J50" s="23">
        <v>-6287.0451438294149</v>
      </c>
      <c r="K50" s="23">
        <v>-6409.1697784806711</v>
      </c>
      <c r="L50" s="23">
        <v>-3545</v>
      </c>
      <c r="M50" s="23">
        <v>-5372.8296697964197</v>
      </c>
      <c r="N50" s="23">
        <v>-13408.097259245656</v>
      </c>
      <c r="O50" s="23">
        <v>-14275.349873184568</v>
      </c>
      <c r="P50" s="23">
        <v>-14093.200687363358</v>
      </c>
      <c r="Q50" s="23">
        <v>-2503.0944028940721</v>
      </c>
      <c r="R50" s="23">
        <v>-3719.2742744555499</v>
      </c>
      <c r="S50" s="64">
        <f t="shared" si="47"/>
        <v>0.48587055692159797</v>
      </c>
      <c r="T50" s="91">
        <f t="shared" si="42"/>
        <v>-1216.1798715614777</v>
      </c>
      <c r="U50" s="23">
        <v>-3293.1901219973424</v>
      </c>
      <c r="V50" s="23">
        <v>-5517.3661294277736</v>
      </c>
      <c r="W50" s="64">
        <f t="shared" si="48"/>
        <v>0.67538645660744701</v>
      </c>
      <c r="X50" s="91">
        <f t="shared" si="43"/>
        <v>-2224.1760074304311</v>
      </c>
      <c r="Y50" s="23">
        <v>-3098.1284972823141</v>
      </c>
      <c r="Z50" s="23">
        <v>-5081.2332902790386</v>
      </c>
      <c r="AA50" s="57">
        <f>Z50/Y50-1</f>
        <v>0.64009765725866719</v>
      </c>
      <c r="AB50" s="91">
        <f t="shared" si="31"/>
        <v>-1983.1047929967244</v>
      </c>
      <c r="AC50" s="23">
        <v>-5198.7876651896295</v>
      </c>
      <c r="AD50" s="23"/>
      <c r="AE50" s="57">
        <f>AD50/AC50-1</f>
        <v>-1</v>
      </c>
      <c r="AF50" s="91">
        <f t="shared" si="44"/>
        <v>5198.7876651896295</v>
      </c>
      <c r="AG50" s="23">
        <f t="shared" si="46"/>
        <v>-8894.4130221737287</v>
      </c>
      <c r="AH50" s="23">
        <f>R50+V50+Z50+AD50</f>
        <v>-14317.873694162363</v>
      </c>
      <c r="AI50" s="57">
        <f t="shared" si="51"/>
        <v>0.6097603808669525</v>
      </c>
      <c r="AJ50" s="91">
        <f t="shared" si="45"/>
        <v>-5423.4606719886342</v>
      </c>
    </row>
    <row r="51" spans="1:36">
      <c r="A51" s="342" t="s">
        <v>492</v>
      </c>
      <c r="B51" s="345"/>
      <c r="C51" s="376">
        <v>0</v>
      </c>
      <c r="D51" s="376">
        <v>-8482.2513770875557</v>
      </c>
      <c r="E51" s="376">
        <v>-12648.48400233217</v>
      </c>
      <c r="F51" s="23">
        <v>-15161.074877599462</v>
      </c>
      <c r="G51" s="23">
        <v>-18342.442920000001</v>
      </c>
      <c r="H51" s="377">
        <v>-16796.437820203028</v>
      </c>
      <c r="I51" s="335"/>
      <c r="J51" s="335">
        <v>28336.202229999999</v>
      </c>
      <c r="K51" s="335">
        <v>-110584.390763918</v>
      </c>
      <c r="L51" s="335">
        <v>0</v>
      </c>
      <c r="M51" s="335">
        <v>0</v>
      </c>
      <c r="N51" s="335">
        <v>0</v>
      </c>
      <c r="O51" s="335">
        <v>0</v>
      </c>
      <c r="P51" s="335">
        <v>0</v>
      </c>
      <c r="Q51" s="335">
        <v>0</v>
      </c>
      <c r="R51" s="23">
        <v>0</v>
      </c>
      <c r="S51" s="336">
        <f t="shared" si="47"/>
        <v>0</v>
      </c>
      <c r="T51" s="337">
        <f t="shared" si="42"/>
        <v>0</v>
      </c>
      <c r="U51" s="335"/>
      <c r="V51" s="335"/>
      <c r="W51" s="336">
        <f t="shared" si="48"/>
        <v>0</v>
      </c>
      <c r="X51" s="337">
        <f t="shared" si="43"/>
        <v>0</v>
      </c>
      <c r="Y51" s="335"/>
      <c r="Z51" s="335"/>
      <c r="AA51" s="75"/>
      <c r="AB51" s="337"/>
      <c r="AC51" s="335"/>
      <c r="AD51" s="335"/>
      <c r="AE51" s="75"/>
      <c r="AF51" s="337"/>
      <c r="AG51" s="23">
        <f t="shared" ref="AG51" si="52">Q51+U51</f>
        <v>0</v>
      </c>
      <c r="AH51" s="23">
        <f>R51+V51+Z51+AD51</f>
        <v>0</v>
      </c>
      <c r="AI51" s="57">
        <f t="shared" ref="AI51" si="53">IFERROR(AH51/AG51-1,0)</f>
        <v>0</v>
      </c>
      <c r="AJ51" s="91">
        <f t="shared" ref="AJ51" si="54">AH51-AG51</f>
        <v>0</v>
      </c>
    </row>
    <row r="52" spans="1:36" ht="15" thickBot="1">
      <c r="A52" s="313" t="s">
        <v>493</v>
      </c>
      <c r="B52" s="314"/>
      <c r="C52" s="378">
        <f>C44-SUM(C45:C51)</f>
        <v>78723</v>
      </c>
      <c r="D52" s="378">
        <f>D44-SUM(D45:D51)</f>
        <v>80544.357089236029</v>
      </c>
      <c r="E52" s="378">
        <f t="shared" ref="E52:G52" si="55">E44-SUM(E45:E51)</f>
        <v>94617.149773757468</v>
      </c>
      <c r="F52" s="378">
        <f>F44-SUM(F45:F51)</f>
        <v>101561.89191249703</v>
      </c>
      <c r="G52" s="378">
        <f t="shared" si="55"/>
        <v>84056.964548076503</v>
      </c>
      <c r="H52" s="378">
        <f>H44-SUM(H45:H51)</f>
        <v>46331.677970303972</v>
      </c>
      <c r="I52" s="378">
        <f t="shared" ref="I52:L52" si="56">I44-SUM(I45:I51)</f>
        <v>22014.294035117142</v>
      </c>
      <c r="J52" s="378">
        <f t="shared" si="56"/>
        <v>7990.9613684409251</v>
      </c>
      <c r="K52" s="378">
        <f t="shared" si="56"/>
        <v>15173.008459606499</v>
      </c>
      <c r="L52" s="378">
        <f t="shared" si="56"/>
        <v>6005</v>
      </c>
      <c r="M52" s="380">
        <v>63180.4082839658</v>
      </c>
      <c r="N52" s="380">
        <v>82414.955259392445</v>
      </c>
      <c r="O52" s="380">
        <v>86722.632395882611</v>
      </c>
      <c r="P52" s="380">
        <v>93181.14053162343</v>
      </c>
      <c r="Q52" s="94">
        <v>9867.9200352468742</v>
      </c>
      <c r="R52" s="94">
        <f>R44-R45-R50</f>
        <v>12041.762939681968</v>
      </c>
      <c r="S52" s="63">
        <f>R52/Q52-1</f>
        <v>0.22029393191983937</v>
      </c>
      <c r="T52" s="93">
        <f>R52-Q52</f>
        <v>2173.8429044350942</v>
      </c>
      <c r="U52" s="94">
        <v>25586.777238884766</v>
      </c>
      <c r="V52" s="94">
        <f>V44-V45-V50</f>
        <v>32121.55410910197</v>
      </c>
      <c r="W52" s="63">
        <f>V52/U52-1</f>
        <v>0.25539663745874819</v>
      </c>
      <c r="X52" s="93">
        <f>V52-U52</f>
        <v>6534.7768702172034</v>
      </c>
      <c r="Y52" s="94">
        <v>21053.7434217236</v>
      </c>
      <c r="Z52" s="94">
        <f>Z44-Z45-Z50</f>
        <v>24379.711747815403</v>
      </c>
      <c r="AA52" s="63">
        <f>Z52/Y52-1</f>
        <v>0.15797515242158844</v>
      </c>
      <c r="AB52" s="93">
        <f>Z52-Y52</f>
        <v>3325.9683260918027</v>
      </c>
      <c r="AC52" s="94">
        <v>36671.803300061772</v>
      </c>
      <c r="AD52" s="94"/>
      <c r="AE52" s="63">
        <f>AD52/AC52-1</f>
        <v>-1</v>
      </c>
      <c r="AF52" s="93">
        <f>AD52-AC52</f>
        <v>-36671.803300061772</v>
      </c>
      <c r="AG52" s="94">
        <f>AG44-SUM(AG45:AG51)</f>
        <v>56509.337231561658</v>
      </c>
      <c r="AH52" s="94">
        <f>AH44-SUM(AH45:AH51)</f>
        <v>68542.028796599319</v>
      </c>
      <c r="AI52" s="63">
        <f>AH52/AG52-1</f>
        <v>0.21293280286991489</v>
      </c>
      <c r="AJ52" s="93">
        <f>AH52-AG52</f>
        <v>12032.691565037661</v>
      </c>
    </row>
    <row r="53" spans="1:36">
      <c r="A53" s="311" t="s">
        <v>494</v>
      </c>
      <c r="B53" s="311"/>
      <c r="C53" s="9">
        <f>C52/C8</f>
        <v>0.30043506468724956</v>
      </c>
      <c r="D53" s="9">
        <f t="shared" ref="D53:L53" si="57">D52/D8</f>
        <v>0.25756462483513887</v>
      </c>
      <c r="E53" s="9">
        <f t="shared" si="57"/>
        <v>0.21816477182557248</v>
      </c>
      <c r="F53" s="9">
        <f t="shared" si="57"/>
        <v>0.24565502006975018</v>
      </c>
      <c r="G53" s="9">
        <f t="shared" si="57"/>
        <v>0.21157424003965966</v>
      </c>
      <c r="H53" s="9">
        <f t="shared" si="57"/>
        <v>0.12838777434269893</v>
      </c>
      <c r="I53" s="9">
        <f t="shared" si="57"/>
        <v>6.4733453801847654E-2</v>
      </c>
      <c r="J53" s="9">
        <f t="shared" si="57"/>
        <v>2.6140207184488555E-2</v>
      </c>
      <c r="K53" s="9">
        <f t="shared" si="57"/>
        <v>4.7981491790271676E-2</v>
      </c>
      <c r="L53" s="9">
        <f t="shared" si="57"/>
        <v>2.4549545227983059E-2</v>
      </c>
      <c r="M53" s="9">
        <v>0.20095442461733248</v>
      </c>
      <c r="N53" s="9">
        <v>0.23464589777121153</v>
      </c>
      <c r="O53" s="9">
        <v>0.25331807679648072</v>
      </c>
      <c r="P53" s="9">
        <v>0.23278989145472739</v>
      </c>
      <c r="Q53" s="9">
        <v>0.14349904646949727</v>
      </c>
      <c r="R53" s="9">
        <f>R52/R8</f>
        <v>0.13892086451516894</v>
      </c>
      <c r="S53" s="9"/>
      <c r="T53" s="53">
        <f>(R53-Q53)*100</f>
        <v>-0.45781819543283253</v>
      </c>
      <c r="U53" s="9">
        <v>0.25700941665266125</v>
      </c>
      <c r="V53" s="9">
        <f>V52/V8</f>
        <v>0.26347878554796217</v>
      </c>
      <c r="W53" s="9"/>
      <c r="X53" s="53">
        <f>(V53-U53)*100</f>
        <v>0.64693688953009199</v>
      </c>
      <c r="Y53" s="9">
        <v>0.22235820460653427</v>
      </c>
      <c r="Z53" s="9">
        <f>Z52/Z8</f>
        <v>0.22609648539413235</v>
      </c>
      <c r="AA53" s="9"/>
      <c r="AB53" s="53">
        <f>(Z53-Y53)*100</f>
        <v>0.37382807875980806</v>
      </c>
      <c r="AC53" s="9">
        <v>0.26714338519671776</v>
      </c>
      <c r="AD53" s="9"/>
      <c r="AE53" s="9"/>
      <c r="AF53" s="53">
        <f>(AD53-AC53)*100</f>
        <v>-26.714338519671777</v>
      </c>
      <c r="AG53" s="9">
        <f>AG52/AG8</f>
        <v>0.21485937315587977</v>
      </c>
      <c r="AH53" s="9">
        <f>AH52/AH8</f>
        <v>0.21661534274691999</v>
      </c>
      <c r="AI53" s="9"/>
      <c r="AJ53" s="53">
        <f>(AH53-AG53)*100</f>
        <v>0.17559695910402129</v>
      </c>
    </row>
    <row r="54" spans="1:36">
      <c r="V54" s="338"/>
      <c r="Z54" s="338"/>
      <c r="AD54" s="338"/>
    </row>
    <row r="55" spans="1:36">
      <c r="V55" s="338"/>
      <c r="Z55" s="338"/>
      <c r="AD55" s="338"/>
    </row>
    <row r="56" spans="1:36">
      <c r="V56" s="338"/>
      <c r="Z56" s="338"/>
      <c r="AD56" s="338"/>
      <c r="AG56"/>
      <c r="AH56"/>
      <c r="AI56"/>
      <c r="AJ56"/>
    </row>
    <row r="57" spans="1:36">
      <c r="AG57"/>
      <c r="AH57"/>
      <c r="AI57"/>
      <c r="AJ57"/>
    </row>
  </sheetData>
  <pageMargins left="0.511811024" right="0.511811024" top="0.78740157499999996" bottom="0.78740157499999996" header="0.31496062000000002" footer="0.31496062000000002"/>
  <pageSetup paperSize="9" scale="63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R79"/>
  <sheetViews>
    <sheetView zoomScaleNormal="100" workbookViewId="0">
      <selection activeCell="C8" sqref="C8"/>
    </sheetView>
  </sheetViews>
  <sheetFormatPr defaultRowHeight="14.4"/>
  <cols>
    <col min="1" max="1" width="58.5546875" customWidth="1"/>
    <col min="2" max="2" width="1.5546875" customWidth="1"/>
    <col min="3" max="3" width="10.5546875" bestFit="1" customWidth="1"/>
    <col min="4" max="4" width="1.44140625" customWidth="1"/>
    <col min="5" max="5" width="10.88671875" customWidth="1"/>
    <col min="6" max="6" width="1.5546875" customWidth="1"/>
    <col min="7" max="7" width="10.5546875" bestFit="1" customWidth="1"/>
    <col min="8" max="8" width="1.109375" customWidth="1"/>
    <col min="9" max="9" width="9.88671875" bestFit="1" customWidth="1"/>
    <col min="10" max="10" width="9.109375" hidden="1" customWidth="1"/>
    <col min="11" max="11" width="9.5546875" hidden="1" customWidth="1"/>
    <col min="12" max="12" width="11.109375" hidden="1" customWidth="1"/>
    <col min="13" max="13" width="13.109375" hidden="1" customWidth="1"/>
    <col min="14" max="14" width="15.5546875" hidden="1" customWidth="1"/>
    <col min="15" max="15" width="9.5546875" hidden="1" customWidth="1"/>
    <col min="16" max="17" width="9.109375" hidden="1" customWidth="1"/>
    <col min="18" max="18" width="9.88671875" hidden="1" customWidth="1"/>
    <col min="19" max="20" width="0" hidden="1" customWidth="1"/>
  </cols>
  <sheetData>
    <row r="1" spans="1:17">
      <c r="A1" t="s">
        <v>315</v>
      </c>
      <c r="L1" t="s">
        <v>316</v>
      </c>
    </row>
    <row r="2" spans="1:17">
      <c r="N2" t="s">
        <v>317</v>
      </c>
      <c r="O2" t="s">
        <v>318</v>
      </c>
      <c r="P2" t="s">
        <v>256</v>
      </c>
    </row>
    <row r="3" spans="1:17" ht="15" thickBot="1">
      <c r="A3" s="234"/>
      <c r="B3" s="235"/>
      <c r="C3" s="409" t="s">
        <v>264</v>
      </c>
      <c r="D3" s="409"/>
      <c r="E3" s="409"/>
      <c r="F3" s="235"/>
      <c r="G3" s="410" t="s">
        <v>265</v>
      </c>
      <c r="H3" s="410"/>
      <c r="I3" s="410"/>
      <c r="L3" t="s">
        <v>319</v>
      </c>
      <c r="N3" s="236">
        <v>-6461</v>
      </c>
      <c r="O3" s="237">
        <v>-11194</v>
      </c>
      <c r="P3" s="236">
        <v>-326</v>
      </c>
    </row>
    <row r="4" spans="1:17" ht="15" thickBot="1">
      <c r="A4" s="234"/>
      <c r="B4" s="235"/>
      <c r="C4" s="235"/>
      <c r="D4" s="238"/>
      <c r="E4" s="239"/>
      <c r="F4" s="235"/>
      <c r="G4" s="234"/>
      <c r="H4" s="238"/>
      <c r="I4" s="240"/>
      <c r="L4" t="s">
        <v>320</v>
      </c>
      <c r="N4" s="236">
        <v>-6461</v>
      </c>
      <c r="O4" s="237">
        <v>-11194</v>
      </c>
      <c r="P4" s="236">
        <v>-326</v>
      </c>
    </row>
    <row r="5" spans="1:17" ht="15" thickBot="1">
      <c r="A5" s="234"/>
      <c r="B5" s="235"/>
      <c r="C5" s="241">
        <v>2014</v>
      </c>
      <c r="D5" s="235"/>
      <c r="E5" s="241">
        <v>2013</v>
      </c>
      <c r="F5" s="235"/>
      <c r="G5" s="241">
        <v>2014</v>
      </c>
      <c r="H5" s="235"/>
      <c r="I5" s="241">
        <v>2013</v>
      </c>
      <c r="L5" t="s">
        <v>321</v>
      </c>
      <c r="M5" t="s">
        <v>322</v>
      </c>
      <c r="N5" s="84">
        <v>5913</v>
      </c>
      <c r="O5" s="84"/>
    </row>
    <row r="6" spans="1:17">
      <c r="A6" s="234"/>
      <c r="B6" s="235"/>
      <c r="C6" s="235"/>
      <c r="D6" s="235"/>
      <c r="E6" s="235"/>
      <c r="F6" s="235"/>
      <c r="G6" s="234"/>
      <c r="H6" s="235"/>
      <c r="I6" s="234"/>
      <c r="M6" s="242" t="s">
        <v>323</v>
      </c>
      <c r="N6" s="243">
        <f>368+79</f>
        <v>447</v>
      </c>
      <c r="O6" s="84" t="s">
        <v>324</v>
      </c>
    </row>
    <row r="7" spans="1:17">
      <c r="A7" s="244" t="s">
        <v>8</v>
      </c>
      <c r="B7" s="235"/>
      <c r="C7" s="235"/>
      <c r="D7" s="235"/>
      <c r="E7" s="235"/>
      <c r="F7" s="235"/>
      <c r="G7" s="234"/>
      <c r="H7" s="235"/>
      <c r="I7" s="234"/>
      <c r="M7" t="s">
        <v>325</v>
      </c>
      <c r="N7" s="84">
        <v>210</v>
      </c>
      <c r="O7" s="84"/>
    </row>
    <row r="8" spans="1:17">
      <c r="A8" s="245" t="s">
        <v>9</v>
      </c>
      <c r="B8" s="235"/>
      <c r="C8" s="246">
        <v>-5403</v>
      </c>
      <c r="D8" s="246"/>
      <c r="E8" s="247">
        <v>-7721</v>
      </c>
      <c r="F8" s="246"/>
      <c r="G8" s="246">
        <v>-3984</v>
      </c>
      <c r="H8" s="246"/>
      <c r="I8" s="247">
        <v>-4678</v>
      </c>
      <c r="M8" t="s">
        <v>326</v>
      </c>
      <c r="N8" s="84"/>
      <c r="O8" s="84"/>
    </row>
    <row r="9" spans="1:17">
      <c r="A9" s="234"/>
      <c r="B9" s="235"/>
      <c r="C9" s="246"/>
      <c r="D9" s="246"/>
      <c r="E9" s="246"/>
      <c r="F9" s="246"/>
      <c r="G9" s="246"/>
      <c r="H9" s="246"/>
      <c r="I9" s="246"/>
      <c r="M9" t="s">
        <v>77</v>
      </c>
      <c r="N9" s="84">
        <f>299-211</f>
        <v>88</v>
      </c>
      <c r="O9" s="84"/>
      <c r="P9" s="236">
        <f>P16+N5+N7+N9</f>
        <v>-39</v>
      </c>
    </row>
    <row r="10" spans="1:17">
      <c r="A10" s="244" t="s">
        <v>10</v>
      </c>
      <c r="B10" s="235"/>
      <c r="C10" s="246"/>
      <c r="D10" s="246"/>
      <c r="E10" s="246"/>
      <c r="F10" s="246"/>
      <c r="G10" s="246"/>
      <c r="H10" s="246"/>
      <c r="I10" s="246"/>
      <c r="N10" s="84">
        <f>SUM(N5:N9)</f>
        <v>6658</v>
      </c>
      <c r="O10" s="84"/>
      <c r="P10" s="236">
        <f>N4+N5+N7</f>
        <v>-338</v>
      </c>
      <c r="Q10" t="s">
        <v>327</v>
      </c>
    </row>
    <row r="11" spans="1:17">
      <c r="A11" s="245" t="s">
        <v>11</v>
      </c>
      <c r="B11" s="235"/>
      <c r="C11" s="246"/>
      <c r="D11" s="246"/>
      <c r="E11" s="246"/>
      <c r="F11" s="246"/>
      <c r="G11" s="246">
        <v>3006</v>
      </c>
      <c r="H11" s="246"/>
      <c r="I11" s="248">
        <v>1670</v>
      </c>
      <c r="J11" s="232" t="s">
        <v>328</v>
      </c>
      <c r="M11" t="s">
        <v>329</v>
      </c>
      <c r="N11" t="s">
        <v>330</v>
      </c>
      <c r="O11">
        <v>5838</v>
      </c>
    </row>
    <row r="12" spans="1:17">
      <c r="A12" s="245" t="s">
        <v>331</v>
      </c>
      <c r="B12" s="235"/>
      <c r="C12" s="246"/>
      <c r="D12" s="246"/>
      <c r="E12" s="246"/>
      <c r="F12" s="246"/>
      <c r="G12" s="246">
        <v>940</v>
      </c>
      <c r="H12" s="246"/>
      <c r="I12" s="249">
        <v>732</v>
      </c>
      <c r="M12" s="242" t="s">
        <v>332</v>
      </c>
      <c r="N12" s="242"/>
    </row>
    <row r="13" spans="1:17">
      <c r="A13" s="245" t="s">
        <v>12</v>
      </c>
      <c r="B13" s="235"/>
      <c r="C13" s="246"/>
      <c r="D13" s="246"/>
      <c r="E13" s="246"/>
      <c r="F13" s="246"/>
      <c r="G13" s="246">
        <v>-874</v>
      </c>
      <c r="H13" s="246"/>
      <c r="I13" s="249">
        <v>602</v>
      </c>
      <c r="M13" s="242" t="s">
        <v>333</v>
      </c>
      <c r="N13" s="242">
        <v>180</v>
      </c>
    </row>
    <row r="14" spans="1:17">
      <c r="A14" s="245" t="s">
        <v>45</v>
      </c>
      <c r="B14" s="235"/>
      <c r="C14" s="246"/>
      <c r="D14" s="246"/>
      <c r="E14" s="246"/>
      <c r="F14" s="246"/>
      <c r="G14" s="246">
        <v>971</v>
      </c>
      <c r="H14" s="246"/>
      <c r="I14" s="248">
        <v>1350</v>
      </c>
      <c r="M14" s="242" t="s">
        <v>334</v>
      </c>
      <c r="N14" s="242">
        <v>28</v>
      </c>
    </row>
    <row r="15" spans="1:17">
      <c r="A15" s="234" t="s">
        <v>13</v>
      </c>
      <c r="B15" s="235"/>
      <c r="C15" s="246"/>
      <c r="D15" s="246"/>
      <c r="E15" s="246"/>
      <c r="F15" s="246"/>
      <c r="G15" s="246">
        <v>-175</v>
      </c>
      <c r="H15" s="246"/>
      <c r="I15" s="249">
        <v>54</v>
      </c>
      <c r="M15" s="242" t="s">
        <v>335</v>
      </c>
      <c r="N15" s="242">
        <v>3</v>
      </c>
    </row>
    <row r="16" spans="1:17">
      <c r="A16" s="250" t="s">
        <v>336</v>
      </c>
      <c r="B16" s="235"/>
      <c r="C16" s="246"/>
      <c r="D16" s="246"/>
      <c r="E16" s="246"/>
      <c r="F16" s="246"/>
      <c r="G16" s="246"/>
      <c r="H16" s="246"/>
      <c r="I16" s="249"/>
      <c r="M16" s="242"/>
      <c r="N16" s="242">
        <f>SUM(N13:N15)</f>
        <v>211</v>
      </c>
      <c r="P16" s="236">
        <f>N4+N16</f>
        <v>-6250</v>
      </c>
    </row>
    <row r="17" spans="1:16">
      <c r="A17" s="245" t="s">
        <v>337</v>
      </c>
      <c r="B17" s="235"/>
      <c r="C17" s="246">
        <v>5189</v>
      </c>
      <c r="D17" s="246"/>
      <c r="E17" s="247">
        <v>7607</v>
      </c>
      <c r="F17" s="246"/>
      <c r="G17" s="246"/>
      <c r="H17" s="246"/>
      <c r="I17" s="249"/>
    </row>
    <row r="18" spans="1:16">
      <c r="A18" s="245" t="s">
        <v>15</v>
      </c>
      <c r="B18" s="235"/>
      <c r="C18" s="246"/>
      <c r="D18" s="246"/>
      <c r="E18" s="247"/>
      <c r="F18" s="246"/>
      <c r="G18" s="246">
        <v>5699</v>
      </c>
      <c r="H18" s="246"/>
      <c r="I18" s="248">
        <v>1138</v>
      </c>
      <c r="M18" t="s">
        <v>338</v>
      </c>
      <c r="N18">
        <v>-712</v>
      </c>
    </row>
    <row r="19" spans="1:16">
      <c r="A19" s="245" t="s">
        <v>339</v>
      </c>
      <c r="B19" s="235"/>
      <c r="C19" s="246"/>
      <c r="D19" s="246"/>
      <c r="E19" s="247"/>
      <c r="F19" s="246"/>
      <c r="G19" s="246">
        <v>1897</v>
      </c>
      <c r="H19" s="246"/>
      <c r="I19" s="214"/>
    </row>
    <row r="20" spans="1:16">
      <c r="A20" s="245" t="s">
        <v>16</v>
      </c>
      <c r="B20" s="235"/>
      <c r="C20" s="246"/>
      <c r="D20" s="246"/>
      <c r="E20" s="246"/>
      <c r="F20" s="246"/>
      <c r="G20" s="246">
        <v>1170</v>
      </c>
      <c r="H20" s="246"/>
      <c r="I20" s="251">
        <v>1353</v>
      </c>
      <c r="M20" t="s">
        <v>340</v>
      </c>
      <c r="N20">
        <v>3857</v>
      </c>
    </row>
    <row r="21" spans="1:16">
      <c r="A21" s="245" t="s">
        <v>17</v>
      </c>
      <c r="B21" s="235"/>
      <c r="C21" s="246"/>
      <c r="D21" s="246"/>
      <c r="E21" s="246">
        <v>1</v>
      </c>
      <c r="F21" s="246"/>
      <c r="G21" s="246">
        <v>5</v>
      </c>
      <c r="H21" s="246"/>
      <c r="I21" s="252">
        <v>71</v>
      </c>
      <c r="J21" s="232" t="s">
        <v>341</v>
      </c>
      <c r="M21" t="s">
        <v>342</v>
      </c>
      <c r="N21">
        <f>130810+22726</f>
        <v>153536</v>
      </c>
    </row>
    <row r="22" spans="1:16">
      <c r="A22" s="234"/>
      <c r="B22" s="235"/>
      <c r="C22" s="246">
        <f>SUM(C8:C21)</f>
        <v>-214</v>
      </c>
      <c r="D22" s="246"/>
      <c r="E22" s="246">
        <f>SUM(E8:E21)</f>
        <v>-113</v>
      </c>
      <c r="F22" s="246"/>
      <c r="G22" s="246">
        <f>SUM(G8:G21)</f>
        <v>8655</v>
      </c>
      <c r="H22" s="246"/>
      <c r="I22" s="246">
        <f>SUM(I8:I21)</f>
        <v>2292</v>
      </c>
      <c r="M22" t="s">
        <v>343</v>
      </c>
      <c r="N22">
        <f>14259+1043</f>
        <v>15302</v>
      </c>
    </row>
    <row r="23" spans="1:16">
      <c r="A23" s="234"/>
      <c r="B23" s="235"/>
      <c r="C23" s="246"/>
      <c r="D23" s="246"/>
      <c r="E23" s="246"/>
      <c r="F23" s="246"/>
      <c r="G23" s="246"/>
      <c r="H23" s="246"/>
      <c r="I23" s="246"/>
      <c r="M23" t="s">
        <v>344</v>
      </c>
      <c r="N23">
        <v>-5426</v>
      </c>
    </row>
    <row r="24" spans="1:16">
      <c r="A24" s="234"/>
      <c r="B24" s="235"/>
      <c r="C24" s="246"/>
      <c r="D24" s="246"/>
      <c r="E24" s="246"/>
      <c r="F24" s="246"/>
      <c r="G24" s="246"/>
      <c r="H24" s="246"/>
      <c r="I24" s="246"/>
      <c r="K24">
        <v>8171</v>
      </c>
      <c r="L24" t="s">
        <v>345</v>
      </c>
      <c r="M24" t="s">
        <v>346</v>
      </c>
      <c r="N24">
        <v>-755</v>
      </c>
    </row>
    <row r="25" spans="1:16">
      <c r="A25" s="244" t="s">
        <v>18</v>
      </c>
      <c r="B25" s="235"/>
      <c r="C25" s="246"/>
      <c r="D25" s="246"/>
      <c r="E25" s="246"/>
      <c r="F25" s="246"/>
      <c r="G25" s="246"/>
      <c r="H25" s="246"/>
      <c r="I25" s="246"/>
      <c r="K25" t="s">
        <v>347</v>
      </c>
      <c r="M25" t="s">
        <v>348</v>
      </c>
      <c r="N25">
        <v>-2464</v>
      </c>
    </row>
    <row r="26" spans="1:16">
      <c r="A26" s="245" t="s">
        <v>349</v>
      </c>
      <c r="B26" s="235"/>
      <c r="C26" s="246">
        <v>0</v>
      </c>
      <c r="D26" s="246"/>
      <c r="E26" s="246"/>
      <c r="F26" s="246"/>
      <c r="G26" s="246">
        <v>42846</v>
      </c>
      <c r="H26" s="246"/>
      <c r="I26" s="253">
        <v>15554</v>
      </c>
      <c r="J26" s="52"/>
      <c r="K26" s="84">
        <v>-27574</v>
      </c>
      <c r="L26" s="236">
        <v>15554</v>
      </c>
      <c r="M26" t="s">
        <v>77</v>
      </c>
      <c r="O26" t="s">
        <v>350</v>
      </c>
      <c r="P26" t="s">
        <v>351</v>
      </c>
    </row>
    <row r="27" spans="1:16">
      <c r="A27" s="245" t="s">
        <v>19</v>
      </c>
      <c r="B27" s="235"/>
      <c r="C27" s="246">
        <v>0</v>
      </c>
      <c r="D27" s="246"/>
      <c r="E27" s="246"/>
      <c r="F27" s="246"/>
      <c r="G27" s="246">
        <v>-21961</v>
      </c>
      <c r="H27" s="246"/>
      <c r="I27" s="253">
        <v>-34112</v>
      </c>
      <c r="J27" s="52"/>
      <c r="K27" s="84">
        <v>-32816</v>
      </c>
      <c r="L27" s="236">
        <v>-34112</v>
      </c>
      <c r="M27" t="s">
        <v>352</v>
      </c>
      <c r="O27">
        <v>83</v>
      </c>
    </row>
    <row r="28" spans="1:16">
      <c r="A28" s="245" t="s">
        <v>20</v>
      </c>
      <c r="B28" s="235"/>
      <c r="C28" s="246">
        <v>-21</v>
      </c>
      <c r="D28" s="246"/>
      <c r="E28" s="254">
        <v>-50</v>
      </c>
      <c r="F28" s="246"/>
      <c r="G28" s="246">
        <v>-755</v>
      </c>
      <c r="H28" s="246"/>
      <c r="I28" s="254">
        <v>-876</v>
      </c>
      <c r="J28" s="52"/>
      <c r="K28" s="255">
        <v>-1294</v>
      </c>
      <c r="L28" s="236">
        <v>-876</v>
      </c>
      <c r="M28" t="s">
        <v>353</v>
      </c>
      <c r="O28">
        <f>630</f>
        <v>630</v>
      </c>
    </row>
    <row r="29" spans="1:16">
      <c r="A29" s="245" t="s">
        <v>53</v>
      </c>
      <c r="B29" s="235"/>
      <c r="C29" s="246">
        <v>248</v>
      </c>
      <c r="D29" s="246"/>
      <c r="E29" s="253">
        <v>-2019</v>
      </c>
      <c r="F29" s="246"/>
      <c r="G29" s="246">
        <v>-1753</v>
      </c>
      <c r="H29" s="246"/>
      <c r="I29" s="253">
        <v>-5569</v>
      </c>
      <c r="J29" s="52"/>
      <c r="K29" s="84">
        <v>-3440</v>
      </c>
      <c r="L29" s="236">
        <v>-5569</v>
      </c>
      <c r="M29" t="s">
        <v>97</v>
      </c>
      <c r="O29">
        <v>8</v>
      </c>
    </row>
    <row r="30" spans="1:16">
      <c r="A30" s="245" t="s">
        <v>21</v>
      </c>
      <c r="B30" s="235"/>
      <c r="C30" s="246">
        <v>35</v>
      </c>
      <c r="D30" s="246"/>
      <c r="E30" s="254">
        <v>-75</v>
      </c>
      <c r="F30" s="246"/>
      <c r="G30" s="246">
        <v>5542</v>
      </c>
      <c r="H30" s="246"/>
      <c r="I30" s="253">
        <v>1512</v>
      </c>
      <c r="J30" s="52"/>
      <c r="K30" s="84">
        <f>1639+451</f>
        <v>2090</v>
      </c>
      <c r="L30" s="236">
        <v>1512</v>
      </c>
      <c r="M30" t="s">
        <v>354</v>
      </c>
      <c r="O30">
        <v>31</v>
      </c>
    </row>
    <row r="31" spans="1:16">
      <c r="A31" s="245" t="s">
        <v>355</v>
      </c>
      <c r="B31" s="235"/>
      <c r="C31" s="246">
        <v>0</v>
      </c>
      <c r="D31" s="246"/>
      <c r="E31" s="254">
        <v>3</v>
      </c>
      <c r="F31" s="246"/>
      <c r="G31" s="246">
        <v>-1893</v>
      </c>
      <c r="H31" s="246"/>
      <c r="I31" s="253">
        <v>2318</v>
      </c>
      <c r="J31" s="52"/>
      <c r="K31" s="84">
        <v>1863</v>
      </c>
      <c r="L31" s="236">
        <v>2318</v>
      </c>
      <c r="M31" t="s">
        <v>130</v>
      </c>
      <c r="O31">
        <v>315</v>
      </c>
    </row>
    <row r="32" spans="1:16">
      <c r="A32" s="245" t="s">
        <v>22</v>
      </c>
      <c r="B32" s="235"/>
      <c r="C32" s="256">
        <v>0</v>
      </c>
      <c r="D32" s="257"/>
      <c r="E32" s="258">
        <v>3</v>
      </c>
      <c r="F32" s="257"/>
      <c r="G32" s="256">
        <v>-3024</v>
      </c>
      <c r="H32" s="257"/>
      <c r="I32" s="254">
        <v>-14</v>
      </c>
      <c r="J32" s="52"/>
      <c r="K32" s="255">
        <v>3318</v>
      </c>
      <c r="L32" s="236">
        <v>-14</v>
      </c>
      <c r="M32" t="s">
        <v>356</v>
      </c>
      <c r="O32">
        <f>-86-1982</f>
        <v>-2068</v>
      </c>
    </row>
    <row r="33" spans="1:16">
      <c r="A33" s="234"/>
      <c r="B33" s="235"/>
      <c r="C33" s="246">
        <f>SUM(C22:C32)</f>
        <v>48</v>
      </c>
      <c r="D33" s="235"/>
      <c r="E33" s="246">
        <f>SUM(E22:E32)</f>
        <v>-2251</v>
      </c>
      <c r="F33" s="235"/>
      <c r="G33" s="246">
        <f>SUM(G22:G32)</f>
        <v>27657</v>
      </c>
      <c r="H33" s="235"/>
      <c r="I33" s="246">
        <f>SUM(I22:I32)</f>
        <v>-18895</v>
      </c>
      <c r="M33" t="s">
        <v>357</v>
      </c>
      <c r="O33">
        <v>-192</v>
      </c>
    </row>
    <row r="34" spans="1:16" ht="15" thickBot="1">
      <c r="A34" s="234"/>
      <c r="B34" s="235"/>
      <c r="C34" s="259"/>
      <c r="D34" s="235"/>
      <c r="E34" s="259"/>
      <c r="F34" s="235"/>
      <c r="G34" s="259"/>
      <c r="H34" s="235"/>
      <c r="I34" s="259"/>
      <c r="M34" t="s">
        <v>358</v>
      </c>
      <c r="O34">
        <v>-428</v>
      </c>
    </row>
    <row r="35" spans="1:16">
      <c r="A35" s="234" t="s">
        <v>359</v>
      </c>
      <c r="B35" s="235"/>
      <c r="C35" s="246"/>
      <c r="D35" s="235"/>
      <c r="E35" s="246"/>
      <c r="F35" s="235"/>
      <c r="G35" s="246">
        <f>-615+615</f>
        <v>0</v>
      </c>
      <c r="H35" s="235"/>
      <c r="I35" s="246"/>
      <c r="M35" t="s">
        <v>130</v>
      </c>
      <c r="O35">
        <f>-211+211-315</f>
        <v>-315</v>
      </c>
    </row>
    <row r="36" spans="1:16">
      <c r="A36" s="245" t="s">
        <v>23</v>
      </c>
      <c r="B36" s="235"/>
      <c r="C36" s="246"/>
      <c r="D36" s="235"/>
      <c r="E36" s="246"/>
      <c r="F36" s="246"/>
      <c r="G36" s="246">
        <v>-218</v>
      </c>
      <c r="H36" s="246"/>
      <c r="I36" s="246"/>
      <c r="L36" s="232"/>
      <c r="M36" t="s">
        <v>360</v>
      </c>
      <c r="O36">
        <v>-51</v>
      </c>
    </row>
    <row r="37" spans="1:16" ht="15" thickBot="1">
      <c r="A37" s="245" t="s">
        <v>24</v>
      </c>
      <c r="B37" s="235"/>
      <c r="C37" s="259"/>
      <c r="D37" s="235"/>
      <c r="E37" s="259"/>
      <c r="F37" s="259"/>
      <c r="G37" s="260"/>
      <c r="H37" s="259"/>
      <c r="I37" s="259">
        <v>-921</v>
      </c>
      <c r="J37" t="s">
        <v>361</v>
      </c>
      <c r="L37" s="255"/>
    </row>
    <row r="38" spans="1:16">
      <c r="A38" s="234"/>
      <c r="B38" s="235"/>
      <c r="C38" s="246"/>
      <c r="D38" s="235"/>
      <c r="E38" s="246"/>
      <c r="F38" s="235"/>
      <c r="G38" s="261"/>
      <c r="H38" s="235"/>
      <c r="I38" s="246"/>
    </row>
    <row r="39" spans="1:16" ht="15" thickBot="1">
      <c r="A39" s="244" t="s">
        <v>362</v>
      </c>
      <c r="B39" s="235"/>
      <c r="C39" s="259">
        <f>SUM(C33:C37)</f>
        <v>48</v>
      </c>
      <c r="D39" s="235"/>
      <c r="E39" s="259">
        <f>SUM(E33:E37)</f>
        <v>-2251</v>
      </c>
      <c r="F39" s="235"/>
      <c r="G39" s="259">
        <f>SUM(G33:G37)</f>
        <v>27439</v>
      </c>
      <c r="H39" s="235"/>
      <c r="I39" s="259">
        <f>SUM(I33:I37)</f>
        <v>-19816</v>
      </c>
    </row>
    <row r="40" spans="1:16">
      <c r="A40" s="234"/>
      <c r="B40" s="235"/>
      <c r="C40" s="246"/>
      <c r="D40" s="235"/>
      <c r="E40" s="246"/>
      <c r="F40" s="235"/>
      <c r="G40" s="246"/>
      <c r="H40" s="235"/>
      <c r="I40" s="246"/>
    </row>
    <row r="41" spans="1:16">
      <c r="A41" s="244" t="s">
        <v>25</v>
      </c>
      <c r="B41" s="235"/>
      <c r="C41" s="246"/>
      <c r="D41" s="235"/>
      <c r="E41" s="246"/>
      <c r="F41" s="235"/>
      <c r="G41" s="246"/>
      <c r="H41" s="235"/>
      <c r="I41" s="246"/>
      <c r="M41" s="242"/>
    </row>
    <row r="42" spans="1:16">
      <c r="A42" s="245" t="s">
        <v>363</v>
      </c>
      <c r="B42" s="235"/>
      <c r="C42" s="246"/>
      <c r="D42" s="246"/>
      <c r="E42" s="262"/>
      <c r="F42" s="246"/>
      <c r="G42" s="246"/>
      <c r="H42" s="246"/>
      <c r="I42" s="214"/>
      <c r="K42" t="s">
        <v>364</v>
      </c>
      <c r="M42" s="243"/>
      <c r="N42" s="84" t="s">
        <v>73</v>
      </c>
      <c r="O42" s="50" t="s">
        <v>75</v>
      </c>
    </row>
    <row r="43" spans="1:16">
      <c r="A43" s="245" t="s">
        <v>365</v>
      </c>
      <c r="B43" s="235"/>
      <c r="C43" s="246"/>
      <c r="D43" s="246"/>
      <c r="E43" s="262"/>
      <c r="F43" s="246"/>
      <c r="G43" s="246"/>
      <c r="H43" s="246"/>
      <c r="I43" s="248">
        <v>-146084</v>
      </c>
      <c r="K43" s="236">
        <v>11023</v>
      </c>
      <c r="M43" t="s">
        <v>366</v>
      </c>
      <c r="N43">
        <v>12507</v>
      </c>
      <c r="O43">
        <v>1752</v>
      </c>
      <c r="P43">
        <f>SUM(N43:O43)</f>
        <v>14259</v>
      </c>
    </row>
    <row r="44" spans="1:16">
      <c r="A44" s="245" t="s">
        <v>367</v>
      </c>
      <c r="B44" s="235"/>
      <c r="C44" s="246"/>
      <c r="D44" s="246"/>
      <c r="E44" s="262"/>
      <c r="F44" s="246"/>
      <c r="G44" s="246"/>
      <c r="H44" s="246"/>
      <c r="I44" s="249">
        <v>942</v>
      </c>
      <c r="M44" t="s">
        <v>368</v>
      </c>
      <c r="N44">
        <v>870</v>
      </c>
      <c r="O44">
        <v>173</v>
      </c>
      <c r="P44">
        <f>SUM(N44:O44)</f>
        <v>1043</v>
      </c>
    </row>
    <row r="45" spans="1:16">
      <c r="A45" s="245" t="s">
        <v>369</v>
      </c>
      <c r="B45" s="235"/>
      <c r="C45" s="246"/>
      <c r="D45" s="246"/>
      <c r="E45" s="262"/>
      <c r="F45" s="246"/>
      <c r="G45" s="246"/>
      <c r="H45" s="246"/>
      <c r="I45" s="246"/>
    </row>
    <row r="46" spans="1:16">
      <c r="A46" s="245" t="s">
        <v>370</v>
      </c>
      <c r="B46" s="235"/>
      <c r="C46" s="246"/>
      <c r="D46" s="246"/>
      <c r="E46" s="246"/>
      <c r="F46" s="246"/>
      <c r="G46" s="246"/>
      <c r="H46" s="246"/>
      <c r="I46" s="246"/>
      <c r="M46" t="s">
        <v>371</v>
      </c>
    </row>
    <row r="47" spans="1:16">
      <c r="A47" s="245" t="s">
        <v>372</v>
      </c>
      <c r="B47" s="235"/>
      <c r="C47" s="246"/>
      <c r="D47" s="246"/>
      <c r="E47" s="246"/>
      <c r="F47" s="246"/>
      <c r="G47" s="246"/>
      <c r="H47" s="246"/>
      <c r="I47" s="246"/>
      <c r="M47" t="s">
        <v>373</v>
      </c>
      <c r="N47">
        <v>-76147</v>
      </c>
    </row>
    <row r="48" spans="1:16">
      <c r="A48" s="245" t="s">
        <v>374</v>
      </c>
      <c r="B48" s="235"/>
      <c r="C48" s="246"/>
      <c r="D48" s="246"/>
      <c r="E48" s="246"/>
      <c r="F48" s="246"/>
      <c r="G48" s="246">
        <v>867</v>
      </c>
      <c r="H48" s="246"/>
      <c r="I48" s="248">
        <v>-25040</v>
      </c>
      <c r="M48" t="s">
        <v>375</v>
      </c>
      <c r="N48">
        <v>-2747</v>
      </c>
    </row>
    <row r="49" spans="1:14">
      <c r="A49" s="245" t="s">
        <v>26</v>
      </c>
      <c r="B49" s="235"/>
      <c r="C49" s="246"/>
      <c r="D49" s="246"/>
      <c r="E49" s="246"/>
      <c r="F49" s="246"/>
      <c r="G49" s="246">
        <v>-782</v>
      </c>
      <c r="H49" s="246"/>
      <c r="I49" s="248">
        <v>-3163</v>
      </c>
      <c r="M49" t="s">
        <v>376</v>
      </c>
      <c r="N49">
        <v>9889</v>
      </c>
    </row>
    <row r="50" spans="1:14">
      <c r="A50" s="245" t="s">
        <v>377</v>
      </c>
      <c r="B50" s="235"/>
      <c r="C50" s="246"/>
      <c r="D50" s="246"/>
      <c r="E50" s="246"/>
      <c r="F50" s="246"/>
      <c r="G50" s="246">
        <v>395</v>
      </c>
      <c r="H50" s="246"/>
      <c r="I50" s="249">
        <v>163</v>
      </c>
      <c r="M50" t="s">
        <v>378</v>
      </c>
      <c r="N50">
        <v>-2618</v>
      </c>
    </row>
    <row r="51" spans="1:14">
      <c r="A51" s="245" t="s">
        <v>379</v>
      </c>
      <c r="B51" s="235"/>
      <c r="C51" s="246"/>
      <c r="D51" s="246"/>
      <c r="E51" s="246">
        <v>-15</v>
      </c>
      <c r="F51" s="246"/>
      <c r="G51" s="246">
        <v>-455</v>
      </c>
      <c r="H51" s="246"/>
      <c r="I51" s="248">
        <v>-1493</v>
      </c>
      <c r="M51" t="s">
        <v>380</v>
      </c>
      <c r="N51">
        <v>11023</v>
      </c>
    </row>
    <row r="52" spans="1:14" ht="15" thickBot="1">
      <c r="A52" s="245" t="s">
        <v>381</v>
      </c>
      <c r="B52" s="235"/>
      <c r="C52" s="237"/>
      <c r="D52" s="235"/>
      <c r="E52" s="263"/>
      <c r="F52" s="235"/>
      <c r="G52" s="264"/>
      <c r="H52" s="235"/>
      <c r="I52" s="264"/>
    </row>
    <row r="53" spans="1:14">
      <c r="A53" s="234"/>
      <c r="B53" s="235"/>
      <c r="C53" s="246"/>
      <c r="D53" s="235"/>
      <c r="E53" s="246"/>
      <c r="F53" s="235"/>
      <c r="G53" s="246"/>
      <c r="H53" s="235"/>
      <c r="I53" s="246"/>
      <c r="M53" t="s">
        <v>382</v>
      </c>
      <c r="N53">
        <f>N47+N49+N50+N51</f>
        <v>-57853</v>
      </c>
    </row>
    <row r="54" spans="1:14" ht="15" thickBot="1">
      <c r="A54" s="244" t="s">
        <v>383</v>
      </c>
      <c r="B54" s="235"/>
      <c r="C54" s="259">
        <f>SUM(C42:C52)</f>
        <v>0</v>
      </c>
      <c r="D54" s="235"/>
      <c r="E54" s="259">
        <f>SUM(E42:E52)</f>
        <v>-15</v>
      </c>
      <c r="F54" s="235"/>
      <c r="G54" s="259">
        <f>SUM(G42:G52)</f>
        <v>25</v>
      </c>
      <c r="H54" s="235"/>
      <c r="I54" s="259">
        <f>SUM(I42:I52)</f>
        <v>-174675</v>
      </c>
    </row>
    <row r="55" spans="1:14">
      <c r="A55" s="234"/>
      <c r="B55" s="235"/>
      <c r="C55" s="246"/>
      <c r="D55" s="235"/>
      <c r="E55" s="246"/>
      <c r="F55" s="235"/>
      <c r="G55" s="246"/>
      <c r="H55" s="235"/>
      <c r="I55" s="246"/>
    </row>
    <row r="56" spans="1:14" s="265" customFormat="1">
      <c r="A56" s="244" t="s">
        <v>27</v>
      </c>
      <c r="B56" s="235"/>
      <c r="C56" s="246"/>
      <c r="D56" s="235"/>
      <c r="E56" s="246"/>
      <c r="F56" s="235"/>
      <c r="G56" s="246"/>
      <c r="H56" s="235"/>
      <c r="I56" s="246"/>
      <c r="M56" s="265" t="s">
        <v>384</v>
      </c>
    </row>
    <row r="57" spans="1:14">
      <c r="A57" s="245" t="s">
        <v>385</v>
      </c>
      <c r="B57" s="235"/>
      <c r="C57" s="246">
        <v>1514</v>
      </c>
      <c r="D57" s="235"/>
      <c r="E57" s="246"/>
      <c r="F57" s="235"/>
      <c r="G57" s="246">
        <v>1514</v>
      </c>
      <c r="H57" s="235"/>
      <c r="I57" s="246"/>
      <c r="M57" s="84">
        <v>33984</v>
      </c>
    </row>
    <row r="58" spans="1:14">
      <c r="A58" s="245" t="s">
        <v>386</v>
      </c>
      <c r="B58" s="235"/>
      <c r="C58" s="246"/>
      <c r="D58" s="246"/>
      <c r="E58" s="246"/>
      <c r="F58" s="246"/>
      <c r="G58" s="246">
        <v>0</v>
      </c>
      <c r="H58" s="246"/>
      <c r="I58" s="266">
        <v>214379</v>
      </c>
    </row>
    <row r="59" spans="1:14">
      <c r="A59" s="245" t="s">
        <v>387</v>
      </c>
      <c r="B59" s="235"/>
      <c r="C59" s="246"/>
      <c r="D59" s="246"/>
      <c r="E59" s="246"/>
      <c r="F59" s="246"/>
      <c r="G59" s="246">
        <v>-23399</v>
      </c>
      <c r="H59" s="246"/>
      <c r="I59" s="266"/>
    </row>
    <row r="60" spans="1:14">
      <c r="A60" s="245" t="s">
        <v>388</v>
      </c>
      <c r="B60" s="235"/>
      <c r="C60" s="246"/>
      <c r="D60" s="246"/>
      <c r="E60" s="246"/>
      <c r="F60" s="246"/>
      <c r="G60" s="246"/>
      <c r="H60" s="246"/>
      <c r="I60" s="251"/>
      <c r="J60" s="232" t="s">
        <v>389</v>
      </c>
    </row>
    <row r="61" spans="1:14">
      <c r="A61" s="245" t="s">
        <v>28</v>
      </c>
      <c r="B61" s="235"/>
      <c r="C61" s="236"/>
      <c r="D61" s="246"/>
      <c r="E61" s="246"/>
      <c r="F61" s="246"/>
      <c r="G61" s="246"/>
      <c r="H61" s="246"/>
      <c r="I61" s="267"/>
    </row>
    <row r="62" spans="1:14" ht="15" thickBot="1">
      <c r="A62" s="234"/>
      <c r="B62" s="235"/>
      <c r="C62" s="259"/>
      <c r="D62" s="235"/>
      <c r="E62" s="259"/>
      <c r="F62" s="235"/>
      <c r="G62" s="259"/>
      <c r="H62" s="235"/>
      <c r="I62" s="268"/>
    </row>
    <row r="63" spans="1:14">
      <c r="A63" s="244" t="s">
        <v>390</v>
      </c>
      <c r="B63" s="235"/>
      <c r="C63" s="246">
        <f>SUM(C57:C62)</f>
        <v>1514</v>
      </c>
      <c r="D63" s="235"/>
      <c r="E63" s="246">
        <f>SUM(E57:E62)</f>
        <v>0</v>
      </c>
      <c r="F63" s="235"/>
      <c r="G63" s="246">
        <f>SUM(G57:G62)</f>
        <v>-21885</v>
      </c>
      <c r="H63" s="235"/>
      <c r="I63" s="246">
        <f>SUM(I57:I62)</f>
        <v>214379</v>
      </c>
    </row>
    <row r="64" spans="1:14" ht="15" thickBot="1">
      <c r="A64" s="234"/>
      <c r="B64" s="235"/>
      <c r="C64" s="259"/>
      <c r="D64" s="235"/>
      <c r="E64" s="259"/>
      <c r="F64" s="235"/>
      <c r="G64" s="259"/>
      <c r="H64" s="235"/>
      <c r="I64" s="259"/>
    </row>
    <row r="65" spans="1:18">
      <c r="A65" s="244" t="s">
        <v>29</v>
      </c>
      <c r="B65" s="235"/>
      <c r="C65" s="246">
        <f>C39+C54+C63</f>
        <v>1562</v>
      </c>
      <c r="D65" s="235"/>
      <c r="E65" s="246">
        <f>E39+E54+E63</f>
        <v>-2266</v>
      </c>
      <c r="F65" s="235"/>
      <c r="G65" s="246">
        <f>G39+G54+G63</f>
        <v>5579</v>
      </c>
      <c r="H65" s="235"/>
      <c r="I65" s="246">
        <f>I39+I54+I63</f>
        <v>19888</v>
      </c>
    </row>
    <row r="66" spans="1:18">
      <c r="A66" s="234"/>
      <c r="B66" s="235"/>
      <c r="C66" s="246"/>
      <c r="D66" s="235"/>
      <c r="E66" s="246"/>
      <c r="F66" s="235"/>
      <c r="G66" s="246"/>
      <c r="H66" s="235"/>
      <c r="I66" s="246"/>
    </row>
    <row r="67" spans="1:18" ht="15" thickBot="1">
      <c r="A67" s="244" t="s">
        <v>391</v>
      </c>
      <c r="B67" s="235"/>
      <c r="C67" s="259">
        <v>61</v>
      </c>
      <c r="D67" s="259"/>
      <c r="E67" s="259">
        <v>6347</v>
      </c>
      <c r="F67" s="259"/>
      <c r="G67" s="259">
        <v>46343</v>
      </c>
      <c r="H67" s="259"/>
      <c r="I67" s="259">
        <v>14664</v>
      </c>
    </row>
    <row r="68" spans="1:18">
      <c r="A68" s="234"/>
      <c r="B68" s="235"/>
      <c r="C68" s="246"/>
      <c r="D68" s="235"/>
      <c r="E68" s="246"/>
      <c r="F68" s="235"/>
      <c r="G68" s="246"/>
      <c r="H68" s="235"/>
      <c r="I68" s="246"/>
    </row>
    <row r="69" spans="1:18" ht="15" thickBot="1">
      <c r="A69" s="244" t="s">
        <v>392</v>
      </c>
      <c r="B69" s="235"/>
      <c r="C69" s="269">
        <f>SUM(C65:C67)</f>
        <v>1623</v>
      </c>
      <c r="D69" s="235"/>
      <c r="E69" s="269">
        <f>SUM(E65:E67)</f>
        <v>4081</v>
      </c>
      <c r="F69" s="235"/>
      <c r="G69" s="269">
        <f>SUM(G65:G67)</f>
        <v>51922</v>
      </c>
      <c r="H69" s="235"/>
      <c r="I69" s="269">
        <f>SUM(I65:I67)</f>
        <v>34552</v>
      </c>
    </row>
    <row r="70" spans="1:18" ht="15" thickTop="1">
      <c r="C70" s="84">
        <v>0</v>
      </c>
      <c r="G70" s="84">
        <v>0</v>
      </c>
    </row>
    <row r="71" spans="1:18">
      <c r="C71" s="236"/>
      <c r="G71" s="236">
        <f>G69-G70</f>
        <v>51922</v>
      </c>
    </row>
    <row r="72" spans="1:18">
      <c r="G72" s="50">
        <f>G70-11023</f>
        <v>-11023</v>
      </c>
    </row>
    <row r="73" spans="1:18">
      <c r="G73">
        <f>G71/2</f>
        <v>25961</v>
      </c>
    </row>
    <row r="77" spans="1:18">
      <c r="M77" t="s">
        <v>393</v>
      </c>
      <c r="N77" t="s">
        <v>394</v>
      </c>
      <c r="O77" t="s">
        <v>395</v>
      </c>
      <c r="P77" t="s">
        <v>396</v>
      </c>
      <c r="Q77" t="s">
        <v>397</v>
      </c>
      <c r="R77" t="s">
        <v>79</v>
      </c>
    </row>
    <row r="78" spans="1:18">
      <c r="M78" t="s">
        <v>398</v>
      </c>
      <c r="N78" s="84">
        <v>3163</v>
      </c>
      <c r="O78" s="84">
        <v>2717</v>
      </c>
      <c r="P78" s="84">
        <v>43</v>
      </c>
      <c r="Q78" s="84"/>
      <c r="R78" s="84">
        <f>SUM(N78:Q78)</f>
        <v>5923</v>
      </c>
    </row>
    <row r="79" spans="1:18">
      <c r="M79" t="s">
        <v>399</v>
      </c>
      <c r="N79" s="84">
        <v>1493</v>
      </c>
      <c r="O79" s="84">
        <v>232</v>
      </c>
      <c r="P79" s="84">
        <v>63</v>
      </c>
      <c r="Q79" s="84">
        <v>119</v>
      </c>
      <c r="R79" s="84">
        <f>SUM(N79:Q79)</f>
        <v>1907</v>
      </c>
    </row>
  </sheetData>
  <mergeCells count="2">
    <mergeCell ref="C3:E3"/>
    <mergeCell ref="G3:I3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4">
    <pageSetUpPr fitToPage="1"/>
  </sheetPr>
  <dimension ref="A1:Q69"/>
  <sheetViews>
    <sheetView showGridLines="0" zoomScale="90" zoomScaleNormal="90" workbookViewId="0">
      <pane xSplit="4" ySplit="3" topLeftCell="E4" activePane="bottomRight" state="frozen"/>
      <selection activeCell="AE9" sqref="AE9"/>
      <selection pane="topRight" activeCell="AE9" sqref="AE9"/>
      <selection pane="bottomLeft" activeCell="AE9" sqref="AE9"/>
      <selection pane="bottomRight" activeCell="F64" sqref="F64"/>
    </sheetView>
  </sheetViews>
  <sheetFormatPr defaultColWidth="9.109375" defaultRowHeight="12" outlineLevelCol="1"/>
  <cols>
    <col min="1" max="3" width="2.88671875" style="346" customWidth="1"/>
    <col min="4" max="4" width="53.88671875" style="346" bestFit="1" customWidth="1"/>
    <col min="5" max="6" width="11.88671875" style="347" customWidth="1" outlineLevel="1"/>
    <col min="7" max="7" width="10.44140625" style="348" customWidth="1" outlineLevel="1"/>
    <col min="8" max="8" width="13.109375" style="348" customWidth="1" outlineLevel="1"/>
    <col min="9" max="16" width="9.109375" style="347"/>
    <col min="17" max="17" width="9.109375" style="393"/>
    <col min="18" max="16384" width="9.109375" style="347"/>
  </cols>
  <sheetData>
    <row r="1" spans="1:17" ht="90" customHeight="1" thickBot="1"/>
    <row r="2" spans="1:17" ht="12.6" thickBot="1">
      <c r="A2" s="322" t="s">
        <v>407</v>
      </c>
      <c r="B2" s="323"/>
      <c r="C2" s="323"/>
      <c r="D2" s="316"/>
      <c r="E2" s="399">
        <v>45565</v>
      </c>
      <c r="F2" s="399">
        <v>45930</v>
      </c>
      <c r="G2" s="2" t="s">
        <v>0</v>
      </c>
      <c r="H2" s="2" t="s">
        <v>1</v>
      </c>
    </row>
    <row r="3" spans="1:17" ht="15.75" customHeight="1">
      <c r="A3" s="324" t="s">
        <v>30</v>
      </c>
      <c r="B3" s="317"/>
      <c r="C3" s="3"/>
      <c r="D3" s="3"/>
      <c r="E3" s="51"/>
      <c r="F3" s="47"/>
      <c r="G3" s="67"/>
      <c r="H3" s="68"/>
    </row>
    <row r="4" spans="1:17" ht="15.75" customHeight="1">
      <c r="A4" s="325"/>
      <c r="B4" s="326" t="s">
        <v>31</v>
      </c>
      <c r="C4" s="326"/>
      <c r="D4" s="326"/>
      <c r="E4" s="48"/>
      <c r="F4" s="48"/>
      <c r="G4" s="80"/>
      <c r="H4" s="82"/>
    </row>
    <row r="5" spans="1:17" ht="15.75" customHeight="1">
      <c r="A5" s="325"/>
      <c r="B5" s="326"/>
      <c r="C5" s="326"/>
      <c r="D5" s="326" t="s">
        <v>408</v>
      </c>
      <c r="E5" s="16">
        <v>124126</v>
      </c>
      <c r="F5" s="16">
        <f>[1]BP!$G$8</f>
        <v>69938</v>
      </c>
      <c r="G5" s="57">
        <f>F5/E5-1</f>
        <v>-0.43655640236533844</v>
      </c>
      <c r="H5" s="99">
        <f>F5-E5</f>
        <v>-54188</v>
      </c>
      <c r="Q5" s="393" t="s">
        <v>503</v>
      </c>
    </row>
    <row r="6" spans="1:17">
      <c r="A6" s="325"/>
      <c r="B6" s="326"/>
      <c r="C6" s="326"/>
      <c r="D6" s="326" t="s">
        <v>409</v>
      </c>
      <c r="E6" s="16">
        <v>368</v>
      </c>
      <c r="F6" s="16">
        <f>[1]BP!$G$15</f>
        <v>197</v>
      </c>
      <c r="G6" s="57">
        <f t="shared" ref="G6" si="0">F6/E6-1</f>
        <v>-0.46467391304347827</v>
      </c>
      <c r="H6" s="99">
        <f t="shared" ref="H6:H9" si="1">F6-E6</f>
        <v>-171</v>
      </c>
      <c r="Q6" s="393" t="s">
        <v>504</v>
      </c>
    </row>
    <row r="7" spans="1:17" ht="15.75" customHeight="1">
      <c r="A7" s="325"/>
      <c r="B7" s="326"/>
      <c r="C7" s="326"/>
      <c r="D7" s="326" t="s">
        <v>410</v>
      </c>
      <c r="E7" s="12">
        <v>0</v>
      </c>
      <c r="F7" s="54">
        <v>0</v>
      </c>
      <c r="G7" s="57">
        <f>IFERROR(F7/E7-1,0)</f>
        <v>0</v>
      </c>
      <c r="H7" s="99">
        <f t="shared" si="1"/>
        <v>0</v>
      </c>
    </row>
    <row r="8" spans="1:17" ht="15.75" customHeight="1">
      <c r="A8" s="325"/>
      <c r="B8" s="326"/>
      <c r="C8" s="326"/>
      <c r="D8" s="326" t="s">
        <v>411</v>
      </c>
      <c r="E8" s="12">
        <v>151578</v>
      </c>
      <c r="F8" s="16">
        <f>[1]BP!$G$9</f>
        <v>189309</v>
      </c>
      <c r="G8" s="57">
        <f t="shared" ref="G8:G9" si="2">IFERROR(F8/E8-1,0)</f>
        <v>0.24892134742508798</v>
      </c>
      <c r="H8" s="99">
        <f t="shared" si="1"/>
        <v>37731</v>
      </c>
      <c r="Q8" s="393" t="s">
        <v>505</v>
      </c>
    </row>
    <row r="9" spans="1:17">
      <c r="A9" s="325"/>
      <c r="B9" s="326"/>
      <c r="C9" s="326"/>
      <c r="D9" s="326" t="s">
        <v>412</v>
      </c>
      <c r="E9" s="16">
        <v>146076</v>
      </c>
      <c r="F9" s="16">
        <f>[1]BP!$G$11</f>
        <v>183319</v>
      </c>
      <c r="G9" s="57">
        <f t="shared" si="2"/>
        <v>0.25495632410526037</v>
      </c>
      <c r="H9" s="99">
        <f t="shared" si="1"/>
        <v>37243</v>
      </c>
      <c r="Q9" s="393" t="s">
        <v>506</v>
      </c>
    </row>
    <row r="10" spans="1:17">
      <c r="A10" s="325"/>
      <c r="B10" s="326"/>
      <c r="C10" s="326"/>
      <c r="D10" s="326" t="s">
        <v>413</v>
      </c>
      <c r="E10" s="16">
        <v>7719</v>
      </c>
      <c r="F10" s="16">
        <f>[1]BP!$G$13</f>
        <v>5569</v>
      </c>
      <c r="G10" s="57">
        <f>IFERROR(F10/E10-1,0)</f>
        <v>-0.27853348879388518</v>
      </c>
      <c r="H10" s="99">
        <f>F10-E10</f>
        <v>-2150</v>
      </c>
      <c r="Q10" s="393" t="s">
        <v>507</v>
      </c>
    </row>
    <row r="11" spans="1:17">
      <c r="A11" s="325"/>
      <c r="B11" s="326"/>
      <c r="C11" s="326"/>
      <c r="D11" s="326" t="s">
        <v>33</v>
      </c>
      <c r="E11" s="16">
        <v>15282</v>
      </c>
      <c r="F11" s="16">
        <f>[1]BP!$G$12</f>
        <v>13320</v>
      </c>
      <c r="G11" s="57">
        <f>IFERROR(F11/E11-1,0)</f>
        <v>-0.12838633686690226</v>
      </c>
      <c r="H11" s="99">
        <f>F11-E11</f>
        <v>-1962</v>
      </c>
      <c r="Q11" s="393" t="s">
        <v>508</v>
      </c>
    </row>
    <row r="12" spans="1:17">
      <c r="A12" s="325"/>
      <c r="B12" s="326"/>
      <c r="C12" s="326"/>
      <c r="D12" s="326" t="s">
        <v>414</v>
      </c>
      <c r="E12" s="16">
        <v>714</v>
      </c>
      <c r="F12" s="16">
        <f>[1]BP!$G$14</f>
        <v>0</v>
      </c>
      <c r="G12" s="57">
        <f>IFERROR(F12/E12-1,0)</f>
        <v>-1</v>
      </c>
      <c r="H12" s="99">
        <f>F12-E12</f>
        <v>-714</v>
      </c>
      <c r="Q12" s="393" t="s">
        <v>509</v>
      </c>
    </row>
    <row r="13" spans="1:17">
      <c r="A13" s="325"/>
      <c r="B13" s="326"/>
      <c r="C13" s="326"/>
      <c r="D13" s="326" t="s">
        <v>34</v>
      </c>
      <c r="E13" s="16">
        <v>17968</v>
      </c>
      <c r="F13" s="16">
        <f>[1]BP!$G$16</f>
        <v>18060</v>
      </c>
      <c r="G13" s="57">
        <f>IFERROR(F13/E13-1,0)</f>
        <v>5.1202137132679848E-3</v>
      </c>
      <c r="H13" s="99">
        <f>F13-E13</f>
        <v>92</v>
      </c>
      <c r="Q13" s="393" t="s">
        <v>34</v>
      </c>
    </row>
    <row r="14" spans="1:17">
      <c r="A14" s="325"/>
      <c r="B14" s="326"/>
      <c r="C14" s="326"/>
      <c r="D14" s="326" t="s">
        <v>415</v>
      </c>
      <c r="E14" s="16">
        <v>0</v>
      </c>
      <c r="F14" s="16">
        <f>[1]BP!$G$24</f>
        <v>0</v>
      </c>
      <c r="G14" s="57">
        <f>IFERROR(F14/E14-1,0)</f>
        <v>0</v>
      </c>
      <c r="H14" s="99">
        <f>F14-E14</f>
        <v>0</v>
      </c>
    </row>
    <row r="15" spans="1:17">
      <c r="A15" s="325"/>
      <c r="B15" s="326" t="s">
        <v>35</v>
      </c>
      <c r="C15" s="326"/>
      <c r="D15" s="326"/>
      <c r="E15" s="16"/>
      <c r="F15" s="16"/>
      <c r="G15" s="57"/>
      <c r="H15" s="99"/>
    </row>
    <row r="16" spans="1:17">
      <c r="A16" s="325"/>
      <c r="B16" s="326"/>
      <c r="C16" s="326" t="s">
        <v>36</v>
      </c>
      <c r="D16" s="3"/>
      <c r="E16" s="16"/>
      <c r="F16" s="16"/>
      <c r="G16" s="75"/>
      <c r="H16" s="99"/>
    </row>
    <row r="17" spans="1:17">
      <c r="A17" s="325"/>
      <c r="B17" s="326"/>
      <c r="C17" s="326"/>
      <c r="D17" s="326" t="s">
        <v>416</v>
      </c>
      <c r="E17" s="16"/>
      <c r="F17" s="16"/>
      <c r="G17" s="57"/>
      <c r="H17" s="99"/>
    </row>
    <row r="18" spans="1:17">
      <c r="A18" s="325"/>
      <c r="B18" s="326"/>
      <c r="C18" s="326"/>
      <c r="D18" s="326" t="s">
        <v>417</v>
      </c>
      <c r="E18" s="16">
        <v>500</v>
      </c>
      <c r="F18" s="16">
        <f>[1]BP!$G$32</f>
        <v>0</v>
      </c>
      <c r="G18" s="57">
        <f t="shared" ref="G18:G22" si="3">IFERROR(F18/E18-1,0)</f>
        <v>-1</v>
      </c>
      <c r="H18" s="99">
        <f t="shared" ref="H18:H22" si="4">F18-E18</f>
        <v>-500</v>
      </c>
      <c r="Q18" s="393" t="s">
        <v>305</v>
      </c>
    </row>
    <row r="19" spans="1:17">
      <c r="A19" s="325"/>
      <c r="B19" s="326"/>
      <c r="C19" s="326"/>
      <c r="D19" s="326" t="s">
        <v>410</v>
      </c>
      <c r="E19" s="16">
        <v>0</v>
      </c>
      <c r="F19" s="16">
        <f>[1]BP!$G$37</f>
        <v>0</v>
      </c>
      <c r="G19" s="57">
        <f t="shared" si="3"/>
        <v>0</v>
      </c>
      <c r="H19" s="99">
        <f t="shared" si="4"/>
        <v>0</v>
      </c>
      <c r="Q19" s="393" t="s">
        <v>510</v>
      </c>
    </row>
    <row r="20" spans="1:17">
      <c r="A20" s="325"/>
      <c r="B20" s="326"/>
      <c r="C20" s="326"/>
      <c r="D20" s="326" t="s">
        <v>33</v>
      </c>
      <c r="E20" s="16">
        <v>3283</v>
      </c>
      <c r="F20" s="16">
        <f>[1]BP!$G$35</f>
        <v>3332</v>
      </c>
      <c r="G20" s="57">
        <f t="shared" si="3"/>
        <v>1.4925373134328401E-2</v>
      </c>
      <c r="H20" s="99">
        <f t="shared" si="4"/>
        <v>49</v>
      </c>
      <c r="Q20" s="393" t="s">
        <v>33</v>
      </c>
    </row>
    <row r="21" spans="1:17">
      <c r="A21" s="325"/>
      <c r="B21" s="326"/>
      <c r="C21" s="3"/>
      <c r="D21" s="3" t="s">
        <v>37</v>
      </c>
      <c r="E21" s="16">
        <v>6937</v>
      </c>
      <c r="F21" s="16">
        <f>[1]BP!$G$38</f>
        <v>10271</v>
      </c>
      <c r="G21" s="57">
        <f t="shared" si="3"/>
        <v>0.48061121522271866</v>
      </c>
      <c r="H21" s="99">
        <f t="shared" si="4"/>
        <v>3334</v>
      </c>
      <c r="Q21" s="393" t="s">
        <v>511</v>
      </c>
    </row>
    <row r="22" spans="1:17">
      <c r="A22" s="325"/>
      <c r="B22" s="326"/>
      <c r="C22" s="326"/>
      <c r="D22" s="326" t="s">
        <v>414</v>
      </c>
      <c r="E22" s="16">
        <v>0</v>
      </c>
      <c r="F22" s="16">
        <f>[1]BP!$G$39</f>
        <v>0</v>
      </c>
      <c r="G22" s="57">
        <f t="shared" si="3"/>
        <v>0</v>
      </c>
      <c r="H22" s="99">
        <f t="shared" si="4"/>
        <v>0</v>
      </c>
      <c r="Q22" s="393" t="s">
        <v>512</v>
      </c>
    </row>
    <row r="23" spans="1:17">
      <c r="A23" s="325"/>
      <c r="B23" s="326"/>
      <c r="C23" s="326" t="s">
        <v>418</v>
      </c>
      <c r="D23" s="317"/>
      <c r="E23" s="16"/>
      <c r="F23" s="16"/>
      <c r="G23" s="75"/>
      <c r="H23" s="99"/>
    </row>
    <row r="24" spans="1:17">
      <c r="A24" s="325"/>
      <c r="B24" s="326"/>
      <c r="C24" s="326"/>
      <c r="D24" s="326" t="s">
        <v>419</v>
      </c>
      <c r="E24" s="16">
        <v>191493</v>
      </c>
      <c r="F24" s="16">
        <f>[1]BP!$G$47</f>
        <v>191966</v>
      </c>
      <c r="G24" s="57">
        <f>F24/E24-1</f>
        <v>2.4700641798915957E-3</v>
      </c>
      <c r="H24" s="99">
        <f t="shared" ref="H24:H25" si="5">F24-E24</f>
        <v>473</v>
      </c>
      <c r="Q24" s="393" t="s">
        <v>513</v>
      </c>
    </row>
    <row r="25" spans="1:17">
      <c r="A25" s="325"/>
      <c r="B25" s="326"/>
      <c r="C25" s="326"/>
      <c r="D25" s="326" t="s">
        <v>420</v>
      </c>
      <c r="E25" s="16">
        <v>27426</v>
      </c>
      <c r="F25" s="16">
        <f>[1]BP!$G$48</f>
        <v>26049</v>
      </c>
      <c r="G25" s="57">
        <f>F25/E25-1</f>
        <v>-5.0207831984248497E-2</v>
      </c>
      <c r="H25" s="99">
        <f t="shared" si="5"/>
        <v>-1377</v>
      </c>
      <c r="Q25" s="393" t="s">
        <v>514</v>
      </c>
    </row>
    <row r="26" spans="1:17">
      <c r="A26" s="318" t="s">
        <v>38</v>
      </c>
      <c r="B26" s="319"/>
      <c r="C26" s="319"/>
      <c r="D26" s="320"/>
      <c r="E26" s="33">
        <f>SUM(E5:E25)</f>
        <v>693470</v>
      </c>
      <c r="F26" s="33">
        <f>SUM(F5:F25)</f>
        <v>711330</v>
      </c>
      <c r="G26" s="81">
        <f>F26/E26-1</f>
        <v>2.5754538768800295E-2</v>
      </c>
      <c r="H26" s="83">
        <f>F26-E26</f>
        <v>17860</v>
      </c>
    </row>
    <row r="27" spans="1:17">
      <c r="A27" s="325" t="s">
        <v>39</v>
      </c>
      <c r="B27" s="326"/>
      <c r="C27" s="326"/>
      <c r="D27" s="326"/>
      <c r="E27" s="49"/>
      <c r="F27" s="49"/>
      <c r="G27" s="57"/>
      <c r="H27" s="58"/>
    </row>
    <row r="28" spans="1:17">
      <c r="A28" s="325"/>
      <c r="B28" s="326" t="s">
        <v>31</v>
      </c>
      <c r="C28" s="326"/>
      <c r="D28" s="326"/>
      <c r="E28" s="49"/>
      <c r="F28" s="49"/>
      <c r="G28" s="57"/>
      <c r="H28" s="58"/>
    </row>
    <row r="29" spans="1:17">
      <c r="A29" s="325"/>
      <c r="B29" s="326"/>
      <c r="C29" s="326"/>
      <c r="D29" s="326" t="s">
        <v>421</v>
      </c>
      <c r="E29" s="12"/>
      <c r="F29" s="12"/>
      <c r="G29" s="57"/>
      <c r="H29" s="58"/>
    </row>
    <row r="30" spans="1:17">
      <c r="A30" s="325"/>
      <c r="B30" s="326"/>
      <c r="C30" s="326"/>
      <c r="D30" s="326" t="s">
        <v>422</v>
      </c>
      <c r="E30" s="12">
        <v>13998</v>
      </c>
      <c r="F30" s="16">
        <f>[1]BP!$P$8</f>
        <v>49730</v>
      </c>
      <c r="G30" s="57">
        <f t="shared" ref="G30:G42" si="6">IFERROR(F30/E30-1,0)</f>
        <v>2.5526503786255179</v>
      </c>
      <c r="H30" s="99">
        <f>F30-E30</f>
        <v>35732</v>
      </c>
      <c r="Q30" s="393" t="s">
        <v>515</v>
      </c>
    </row>
    <row r="31" spans="1:17">
      <c r="A31" s="325"/>
      <c r="B31" s="326"/>
      <c r="C31" s="326"/>
      <c r="D31" s="326" t="s">
        <v>40</v>
      </c>
      <c r="E31" s="12">
        <v>67105</v>
      </c>
      <c r="F31" s="16">
        <f>[1]BP!$P$9</f>
        <v>57679</v>
      </c>
      <c r="G31" s="57">
        <f t="shared" si="6"/>
        <v>-0.14046643320169883</v>
      </c>
      <c r="H31" s="99">
        <f t="shared" ref="H31:H42" si="7">F31-E31</f>
        <v>-9426</v>
      </c>
      <c r="Q31" s="393" t="s">
        <v>516</v>
      </c>
    </row>
    <row r="32" spans="1:17">
      <c r="A32" s="325"/>
      <c r="B32" s="326"/>
      <c r="C32" s="326"/>
      <c r="D32" s="326" t="s">
        <v>498</v>
      </c>
      <c r="E32" s="16">
        <v>67</v>
      </c>
      <c r="F32" s="16">
        <f>[1]BP!$P$10</f>
        <v>169</v>
      </c>
      <c r="G32" s="57"/>
      <c r="H32" s="99"/>
      <c r="Q32" s="393" t="s">
        <v>498</v>
      </c>
    </row>
    <row r="33" spans="1:17">
      <c r="A33" s="325"/>
      <c r="B33" s="326"/>
      <c r="C33" s="326"/>
      <c r="D33" s="326" t="s">
        <v>41</v>
      </c>
      <c r="E33" s="12">
        <v>5402</v>
      </c>
      <c r="F33" s="16">
        <f>[1]BP!$P$11</f>
        <v>4392</v>
      </c>
      <c r="G33" s="57">
        <f t="shared" si="6"/>
        <v>-0.18696778970751571</v>
      </c>
      <c r="H33" s="99">
        <f t="shared" si="7"/>
        <v>-1010</v>
      </c>
      <c r="Q33" s="393" t="s">
        <v>517</v>
      </c>
    </row>
    <row r="34" spans="1:17">
      <c r="A34" s="325"/>
      <c r="B34" s="326"/>
      <c r="C34" s="326"/>
      <c r="D34" s="326" t="s">
        <v>423</v>
      </c>
      <c r="E34" s="12">
        <v>414</v>
      </c>
      <c r="F34" s="16">
        <f>[1]BP!$P$12</f>
        <v>525</v>
      </c>
      <c r="G34" s="57">
        <f t="shared" si="6"/>
        <v>0.26811594202898559</v>
      </c>
      <c r="H34" s="99">
        <f t="shared" si="7"/>
        <v>111</v>
      </c>
      <c r="Q34" s="393" t="s">
        <v>518</v>
      </c>
    </row>
    <row r="35" spans="1:17">
      <c r="A35" s="325"/>
      <c r="B35" s="326"/>
      <c r="C35" s="326"/>
      <c r="D35" s="326" t="s">
        <v>424</v>
      </c>
      <c r="E35" s="12">
        <v>0</v>
      </c>
      <c r="F35" s="16">
        <f>[1]BP!$P$15</f>
        <v>0</v>
      </c>
      <c r="G35" s="57">
        <f t="shared" si="6"/>
        <v>0</v>
      </c>
      <c r="H35" s="99">
        <f t="shared" si="7"/>
        <v>0</v>
      </c>
      <c r="Q35" s="393" t="s">
        <v>519</v>
      </c>
    </row>
    <row r="36" spans="1:17">
      <c r="A36" s="325"/>
      <c r="B36" s="326"/>
      <c r="C36" s="326"/>
      <c r="D36" s="326" t="s">
        <v>42</v>
      </c>
      <c r="E36" s="16">
        <v>13036</v>
      </c>
      <c r="F36" s="16">
        <f>[1]BP!$P$13</f>
        <v>16889</v>
      </c>
      <c r="G36" s="57">
        <f t="shared" si="6"/>
        <v>0.29556612457809139</v>
      </c>
      <c r="H36" s="99">
        <f t="shared" si="7"/>
        <v>3853</v>
      </c>
      <c r="Q36" s="393" t="s">
        <v>42</v>
      </c>
    </row>
    <row r="37" spans="1:17">
      <c r="A37" s="325"/>
      <c r="B37" s="326"/>
      <c r="C37" s="326"/>
      <c r="D37" s="326" t="s">
        <v>425</v>
      </c>
      <c r="E37" s="16">
        <v>129</v>
      </c>
      <c r="F37" s="16">
        <f>[1]BP!$P$14</f>
        <v>140</v>
      </c>
      <c r="G37" s="57">
        <f t="shared" si="6"/>
        <v>8.5271317829457294E-2</v>
      </c>
      <c r="H37" s="99">
        <f t="shared" si="7"/>
        <v>11</v>
      </c>
      <c r="Q37" s="393" t="s">
        <v>520</v>
      </c>
    </row>
    <row r="38" spans="1:17">
      <c r="A38" s="325"/>
      <c r="B38" s="326"/>
      <c r="C38" s="326"/>
      <c r="D38" s="326" t="s">
        <v>414</v>
      </c>
      <c r="E38" s="16">
        <v>1310</v>
      </c>
      <c r="F38" s="16">
        <f>[1]BP!$P$17</f>
        <v>5943</v>
      </c>
      <c r="G38" s="57">
        <f t="shared" si="6"/>
        <v>3.5366412213740457</v>
      </c>
      <c r="H38" s="99">
        <f t="shared" si="7"/>
        <v>4633</v>
      </c>
      <c r="Q38" s="393" t="s">
        <v>509</v>
      </c>
    </row>
    <row r="39" spans="1:17">
      <c r="A39" s="325"/>
      <c r="B39" s="326"/>
      <c r="C39" s="326"/>
      <c r="D39" s="326" t="s">
        <v>403</v>
      </c>
      <c r="E39" s="16">
        <v>1628</v>
      </c>
      <c r="F39" s="16">
        <f>[1]BP!$P$18</f>
        <v>1428</v>
      </c>
      <c r="G39" s="57">
        <f t="shared" si="6"/>
        <v>-0.12285012285012287</v>
      </c>
      <c r="H39" s="99">
        <f t="shared" si="7"/>
        <v>-200</v>
      </c>
      <c r="Q39" s="393" t="s">
        <v>521</v>
      </c>
    </row>
    <row r="40" spans="1:17">
      <c r="A40" s="325"/>
      <c r="B40" s="326"/>
      <c r="C40" s="326"/>
      <c r="D40" s="326" t="s">
        <v>44</v>
      </c>
      <c r="E40" s="16">
        <v>8253</v>
      </c>
      <c r="F40" s="16">
        <f>[1]BP!$P$21</f>
        <v>10868</v>
      </c>
      <c r="G40" s="57">
        <f t="shared" si="6"/>
        <v>0.31685447715982074</v>
      </c>
      <c r="H40" s="99">
        <f t="shared" si="7"/>
        <v>2615</v>
      </c>
      <c r="Q40" s="393" t="s">
        <v>44</v>
      </c>
    </row>
    <row r="41" spans="1:17">
      <c r="A41" s="325"/>
      <c r="B41" s="326"/>
      <c r="C41" s="326"/>
      <c r="D41" s="326" t="s">
        <v>426</v>
      </c>
      <c r="E41" s="16">
        <v>0</v>
      </c>
      <c r="F41" s="16">
        <f>[1]BP!P19</f>
        <v>0</v>
      </c>
      <c r="G41" s="57">
        <f t="shared" si="6"/>
        <v>0</v>
      </c>
      <c r="H41" s="99">
        <f t="shared" si="7"/>
        <v>0</v>
      </c>
      <c r="Q41" s="393" t="s">
        <v>522</v>
      </c>
    </row>
    <row r="42" spans="1:17">
      <c r="A42" s="325"/>
      <c r="B42" s="326"/>
      <c r="C42" s="326"/>
      <c r="D42" s="326" t="s">
        <v>404</v>
      </c>
      <c r="E42" s="16">
        <v>0</v>
      </c>
      <c r="F42" s="16">
        <f>[1]BP!P20</f>
        <v>0</v>
      </c>
      <c r="G42" s="57">
        <f t="shared" si="6"/>
        <v>0</v>
      </c>
      <c r="H42" s="99">
        <f t="shared" si="7"/>
        <v>0</v>
      </c>
      <c r="Q42" s="393" t="s">
        <v>523</v>
      </c>
    </row>
    <row r="43" spans="1:17">
      <c r="A43" s="325"/>
      <c r="B43" s="326" t="s">
        <v>35</v>
      </c>
      <c r="C43" s="3"/>
      <c r="D43" s="3"/>
      <c r="E43" s="16"/>
      <c r="F43" s="16"/>
      <c r="G43" s="57"/>
      <c r="H43" s="99"/>
    </row>
    <row r="44" spans="1:17">
      <c r="A44" s="325"/>
      <c r="B44" s="326"/>
      <c r="C44" s="326"/>
      <c r="D44" s="326" t="s">
        <v>422</v>
      </c>
      <c r="E44" s="16">
        <v>93035</v>
      </c>
      <c r="F44" s="16">
        <f>[1]BP!$P$25</f>
        <v>41098</v>
      </c>
      <c r="G44" s="57">
        <f t="shared" ref="G44:G53" si="8">IFERROR(F44/E44-1,0)</f>
        <v>-0.55825227065083038</v>
      </c>
      <c r="H44" s="99">
        <f t="shared" ref="H44:H53" si="9">F44-E44</f>
        <v>-51937</v>
      </c>
      <c r="Q44" s="393" t="s">
        <v>515</v>
      </c>
    </row>
    <row r="45" spans="1:17">
      <c r="A45" s="325"/>
      <c r="B45" s="326"/>
      <c r="C45" s="326"/>
      <c r="D45" s="326" t="s">
        <v>41</v>
      </c>
      <c r="E45" s="16">
        <v>1227</v>
      </c>
      <c r="F45" s="16">
        <f>[1]BP!$P$28</f>
        <v>1073</v>
      </c>
      <c r="G45" s="57">
        <f t="shared" si="8"/>
        <v>-0.12550937245313776</v>
      </c>
      <c r="H45" s="99">
        <f t="shared" si="9"/>
        <v>-154</v>
      </c>
      <c r="Q45" s="393" t="s">
        <v>525</v>
      </c>
    </row>
    <row r="46" spans="1:17">
      <c r="A46" s="325"/>
      <c r="B46" s="326"/>
      <c r="C46" s="326"/>
      <c r="D46" s="326" t="s">
        <v>423</v>
      </c>
      <c r="E46" s="16">
        <v>32356</v>
      </c>
      <c r="F46" s="16">
        <f>[1]BP!$P$26</f>
        <v>31503</v>
      </c>
      <c r="G46" s="57">
        <f t="shared" si="8"/>
        <v>-2.6362962047224658E-2</v>
      </c>
      <c r="H46" s="99">
        <f t="shared" si="9"/>
        <v>-853</v>
      </c>
      <c r="Q46" s="393" t="s">
        <v>524</v>
      </c>
    </row>
    <row r="47" spans="1:17">
      <c r="A47" s="325"/>
      <c r="B47" s="326"/>
      <c r="C47" s="326"/>
      <c r="D47" s="326" t="s">
        <v>45</v>
      </c>
      <c r="E47" s="16">
        <v>47552</v>
      </c>
      <c r="F47" s="16">
        <f>[1]BP!$P$27</f>
        <v>49645</v>
      </c>
      <c r="G47" s="57">
        <f t="shared" si="8"/>
        <v>4.4014973082099562E-2</v>
      </c>
      <c r="H47" s="99">
        <f t="shared" si="9"/>
        <v>2093</v>
      </c>
      <c r="Q47" s="393" t="s">
        <v>526</v>
      </c>
    </row>
    <row r="48" spans="1:17">
      <c r="A48" s="325"/>
      <c r="B48" s="326"/>
      <c r="C48" s="326"/>
      <c r="D48" s="326" t="s">
        <v>414</v>
      </c>
      <c r="E48" s="16">
        <v>0</v>
      </c>
      <c r="F48" s="16">
        <f>[1]BP!$P$29</f>
        <v>0</v>
      </c>
      <c r="G48" s="57">
        <f t="shared" si="8"/>
        <v>0</v>
      </c>
      <c r="H48" s="99">
        <f t="shared" si="9"/>
        <v>0</v>
      </c>
      <c r="Q48" s="393" t="s">
        <v>509</v>
      </c>
    </row>
    <row r="49" spans="1:17">
      <c r="A49" s="325"/>
      <c r="B49" s="326"/>
      <c r="C49" s="326"/>
      <c r="D49" s="326" t="s">
        <v>427</v>
      </c>
      <c r="E49" s="16">
        <v>0</v>
      </c>
      <c r="F49" s="16">
        <f>[1]BP!$P$31</f>
        <v>0</v>
      </c>
      <c r="G49" s="57">
        <f t="shared" si="8"/>
        <v>0</v>
      </c>
      <c r="H49" s="99">
        <f t="shared" si="9"/>
        <v>0</v>
      </c>
      <c r="Q49" s="393" t="s">
        <v>527</v>
      </c>
    </row>
    <row r="50" spans="1:17">
      <c r="A50" s="325"/>
      <c r="B50" s="326"/>
      <c r="C50" s="326"/>
      <c r="D50" s="326" t="s">
        <v>404</v>
      </c>
      <c r="E50" s="16">
        <v>0</v>
      </c>
      <c r="F50" s="16">
        <f>[1]BP!$P$32</f>
        <v>0</v>
      </c>
      <c r="G50" s="57">
        <f t="shared" si="8"/>
        <v>0</v>
      </c>
      <c r="H50" s="99">
        <f t="shared" si="9"/>
        <v>0</v>
      </c>
      <c r="Q50" s="393" t="s">
        <v>523</v>
      </c>
    </row>
    <row r="51" spans="1:17">
      <c r="A51" s="325"/>
      <c r="B51" s="326"/>
      <c r="C51" s="326"/>
      <c r="D51" s="326" t="s">
        <v>403</v>
      </c>
      <c r="E51" s="12">
        <v>2115</v>
      </c>
      <c r="F51" s="16">
        <f>[1]BP!$P$33</f>
        <v>1200</v>
      </c>
      <c r="G51" s="57">
        <f t="shared" si="8"/>
        <v>-0.43262411347517726</v>
      </c>
      <c r="H51" s="99">
        <f t="shared" si="9"/>
        <v>-915</v>
      </c>
      <c r="Q51" s="393" t="s">
        <v>528</v>
      </c>
    </row>
    <row r="52" spans="1:17">
      <c r="A52" s="325"/>
      <c r="B52" s="326"/>
      <c r="C52" s="326"/>
      <c r="D52" s="326" t="s">
        <v>406</v>
      </c>
      <c r="E52" s="16">
        <v>1709</v>
      </c>
      <c r="F52" s="16">
        <f>[1]BP!$P$34</f>
        <v>1709</v>
      </c>
      <c r="G52" s="57">
        <f t="shared" si="8"/>
        <v>0</v>
      </c>
      <c r="H52" s="99">
        <f t="shared" si="9"/>
        <v>0</v>
      </c>
      <c r="Q52" s="393" t="s">
        <v>522</v>
      </c>
    </row>
    <row r="53" spans="1:17">
      <c r="A53" s="325"/>
      <c r="B53" s="326"/>
      <c r="C53" s="326"/>
      <c r="D53" s="326" t="s">
        <v>44</v>
      </c>
      <c r="E53" s="16">
        <v>0</v>
      </c>
      <c r="F53" s="16">
        <v>0</v>
      </c>
      <c r="G53" s="57">
        <f t="shared" si="8"/>
        <v>0</v>
      </c>
      <c r="H53" s="99">
        <f t="shared" si="9"/>
        <v>0</v>
      </c>
      <c r="Q53" s="393" t="s">
        <v>44</v>
      </c>
    </row>
    <row r="54" spans="1:17">
      <c r="A54" s="318" t="s">
        <v>428</v>
      </c>
      <c r="B54" s="319"/>
      <c r="C54" s="319"/>
      <c r="D54" s="319"/>
      <c r="E54" s="33">
        <f>SUM(E29:E53)</f>
        <v>289336</v>
      </c>
      <c r="F54" s="33">
        <f>SUM(F29:F53)</f>
        <v>273991</v>
      </c>
      <c r="G54" s="81">
        <f>F54/E54-1</f>
        <v>-5.3035225481792847E-2</v>
      </c>
      <c r="H54" s="83">
        <f>F54-E54</f>
        <v>-15345</v>
      </c>
    </row>
    <row r="55" spans="1:17">
      <c r="A55" s="325" t="s">
        <v>429</v>
      </c>
      <c r="B55" s="326"/>
      <c r="C55" s="326"/>
      <c r="D55" s="326"/>
      <c r="E55" s="49"/>
      <c r="F55" s="49"/>
      <c r="G55" s="57"/>
      <c r="H55" s="58"/>
    </row>
    <row r="56" spans="1:17">
      <c r="A56" s="325"/>
      <c r="B56" s="326" t="s">
        <v>46</v>
      </c>
      <c r="C56" s="326"/>
      <c r="D56" s="326"/>
      <c r="E56" s="16">
        <v>130583</v>
      </c>
      <c r="F56" s="16">
        <f>[1]BP!$P$42</f>
        <v>130583</v>
      </c>
      <c r="G56" s="57">
        <f t="shared" ref="G56:G64" si="10">IFERROR(F56/E56-1,0)</f>
        <v>0</v>
      </c>
      <c r="H56" s="99">
        <f t="shared" ref="H56:H63" si="11">F56-E56</f>
        <v>0</v>
      </c>
      <c r="Q56" s="393" t="s">
        <v>46</v>
      </c>
    </row>
    <row r="57" spans="1:17">
      <c r="A57" s="325"/>
      <c r="B57" s="326" t="s">
        <v>430</v>
      </c>
      <c r="C57" s="326"/>
      <c r="D57" s="326"/>
      <c r="E57" s="16">
        <v>-137</v>
      </c>
      <c r="F57" s="16">
        <f>[1]BP!$P$43</f>
        <v>-2754</v>
      </c>
      <c r="G57" s="57">
        <f t="shared" si="10"/>
        <v>19.102189781021899</v>
      </c>
      <c r="H57" s="99">
        <f t="shared" si="11"/>
        <v>-2617</v>
      </c>
      <c r="Q57" s="393" t="s">
        <v>529</v>
      </c>
    </row>
    <row r="58" spans="1:17">
      <c r="A58" s="325"/>
      <c r="B58" s="326" t="s">
        <v>47</v>
      </c>
      <c r="C58" s="326"/>
      <c r="D58" s="326"/>
      <c r="E58" s="16">
        <v>-10870</v>
      </c>
      <c r="F58" s="16">
        <f>[1]BP!$P$44</f>
        <v>-10870</v>
      </c>
      <c r="G58" s="57">
        <f t="shared" si="10"/>
        <v>0</v>
      </c>
      <c r="H58" s="99">
        <f t="shared" si="11"/>
        <v>0</v>
      </c>
      <c r="Q58" s="393" t="s">
        <v>47</v>
      </c>
    </row>
    <row r="59" spans="1:17">
      <c r="A59" s="325"/>
      <c r="B59" s="326" t="s">
        <v>48</v>
      </c>
      <c r="C59" s="3"/>
      <c r="D59" s="3"/>
      <c r="E59" s="16">
        <v>138200</v>
      </c>
      <c r="F59" s="16">
        <f>[1]BP!$P$45</f>
        <v>120594</v>
      </c>
      <c r="G59" s="57">
        <f t="shared" si="10"/>
        <v>-0.12739507959479013</v>
      </c>
      <c r="H59" s="99">
        <f t="shared" si="11"/>
        <v>-17606</v>
      </c>
      <c r="Q59" s="393" t="s">
        <v>48</v>
      </c>
    </row>
    <row r="60" spans="1:17">
      <c r="A60" s="325"/>
      <c r="B60" s="326" t="s">
        <v>49</v>
      </c>
      <c r="C60" s="326"/>
      <c r="D60" s="326"/>
      <c r="E60" s="16">
        <v>26209</v>
      </c>
      <c r="F60" s="16">
        <f>[1]BP!$P$49</f>
        <v>59482</v>
      </c>
      <c r="G60" s="57">
        <f t="shared" si="10"/>
        <v>1.2695257354343927</v>
      </c>
      <c r="H60" s="99">
        <f t="shared" si="11"/>
        <v>33273</v>
      </c>
      <c r="Q60" s="393" t="s">
        <v>49</v>
      </c>
    </row>
    <row r="61" spans="1:17">
      <c r="A61" s="325"/>
      <c r="B61" s="326" t="s">
        <v>50</v>
      </c>
      <c r="C61" s="326"/>
      <c r="D61" s="326"/>
      <c r="E61" s="16">
        <v>-14293</v>
      </c>
      <c r="F61" s="16">
        <f>[1]BP!$P$46+[1]BP!$P$47</f>
        <v>-14258</v>
      </c>
      <c r="G61" s="57">
        <f t="shared" si="10"/>
        <v>-2.4487511369202242E-3</v>
      </c>
      <c r="H61" s="99">
        <f t="shared" si="11"/>
        <v>35</v>
      </c>
      <c r="I61" s="350"/>
      <c r="Q61" s="393" t="s">
        <v>50</v>
      </c>
    </row>
    <row r="62" spans="1:17">
      <c r="A62" s="325"/>
      <c r="B62" s="326" t="s">
        <v>431</v>
      </c>
      <c r="C62" s="326"/>
      <c r="D62" s="326"/>
      <c r="E62" s="16">
        <v>0</v>
      </c>
      <c r="F62" s="16"/>
      <c r="G62" s="57">
        <f t="shared" si="10"/>
        <v>0</v>
      </c>
      <c r="H62" s="99">
        <f t="shared" si="11"/>
        <v>0</v>
      </c>
      <c r="I62" s="350"/>
      <c r="Q62" s="393" t="s">
        <v>431</v>
      </c>
    </row>
    <row r="63" spans="1:17">
      <c r="A63" s="325"/>
      <c r="B63" s="3" t="s">
        <v>495</v>
      </c>
      <c r="C63" s="326"/>
      <c r="D63" s="326"/>
      <c r="E63" s="16">
        <v>95620</v>
      </c>
      <c r="F63" s="16">
        <f>[1]BP!$P$48</f>
        <v>112180</v>
      </c>
      <c r="G63" s="57">
        <f t="shared" si="10"/>
        <v>0.17318552604057724</v>
      </c>
      <c r="H63" s="99">
        <f t="shared" si="11"/>
        <v>16560</v>
      </c>
      <c r="I63" s="350"/>
      <c r="Q63" s="393" t="s">
        <v>495</v>
      </c>
    </row>
    <row r="64" spans="1:17">
      <c r="A64" s="325"/>
      <c r="B64" s="321" t="s">
        <v>496</v>
      </c>
      <c r="C64" s="326"/>
      <c r="D64" s="326"/>
      <c r="E64" s="16">
        <v>38822</v>
      </c>
      <c r="F64" s="16">
        <f>[1]BP!$P$51</f>
        <v>42382</v>
      </c>
      <c r="G64" s="57">
        <f t="shared" si="10"/>
        <v>9.1700582144145004E-2</v>
      </c>
      <c r="H64" s="99">
        <f t="shared" ref="H64" si="12">F64-E64</f>
        <v>3560</v>
      </c>
      <c r="I64" s="350"/>
      <c r="Q64" s="393" t="s">
        <v>530</v>
      </c>
    </row>
    <row r="65" spans="1:8">
      <c r="A65" s="318" t="s">
        <v>51</v>
      </c>
      <c r="B65" s="319"/>
      <c r="C65" s="319"/>
      <c r="D65" s="319"/>
      <c r="E65" s="34">
        <f>SUM(E55:E64)</f>
        <v>404134</v>
      </c>
      <c r="F65" s="34">
        <f>SUM(F55:F64)</f>
        <v>437339</v>
      </c>
      <c r="G65" s="81">
        <f>F65/E65-1</f>
        <v>8.2163341861857697E-2</v>
      </c>
      <c r="H65" s="83">
        <f>F65-E65</f>
        <v>33205</v>
      </c>
    </row>
    <row r="66" spans="1:8">
      <c r="A66" s="325"/>
      <c r="B66" s="326"/>
      <c r="C66" s="326"/>
      <c r="D66" s="326"/>
      <c r="E66" s="49"/>
      <c r="F66" s="49"/>
      <c r="G66" s="57"/>
      <c r="H66" s="58"/>
    </row>
    <row r="67" spans="1:8" ht="12.6" thickBot="1">
      <c r="A67" s="329" t="s">
        <v>432</v>
      </c>
      <c r="B67" s="330"/>
      <c r="C67" s="330"/>
      <c r="D67" s="330"/>
      <c r="E67" s="35">
        <f>E65+E54</f>
        <v>693470</v>
      </c>
      <c r="F67" s="35">
        <f>F65+F54</f>
        <v>711330</v>
      </c>
      <c r="G67" s="76">
        <f>F67/E67-1</f>
        <v>2.5754538768800295E-2</v>
      </c>
      <c r="H67" s="77">
        <f>F67-E67</f>
        <v>17860</v>
      </c>
    </row>
    <row r="68" spans="1:8">
      <c r="E68" s="351">
        <f>E67-E26</f>
        <v>0</v>
      </c>
      <c r="F68" s="351">
        <f>F67-F26</f>
        <v>0</v>
      </c>
    </row>
    <row r="69" spans="1:8">
      <c r="E69" s="349"/>
      <c r="F69" s="352"/>
      <c r="H69" s="353"/>
    </row>
  </sheetData>
  <pageMargins left="0.511811024" right="0.511811024" top="0.78740157499999996" bottom="0.78740157499999996" header="0.31496062000000002" footer="0.31496062000000002"/>
  <pageSetup paperSize="9" scale="42" orientation="portrait" r:id="rId1"/>
  <ignoredErrors>
    <ignoredError sqref="G43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>
    <pageSetUpPr fitToPage="1"/>
  </sheetPr>
  <dimension ref="A1:AA113"/>
  <sheetViews>
    <sheetView showGridLines="0" zoomScale="90" zoomScaleNormal="90" workbookViewId="0">
      <pane xSplit="2" ySplit="2" topLeftCell="C3" activePane="bottomRight" state="frozen"/>
      <selection activeCell="AE9" sqref="AE9"/>
      <selection pane="topRight" activeCell="AE9" sqref="AE9"/>
      <selection pane="bottomLeft" activeCell="AE9" sqref="AE9"/>
      <selection pane="bottomRight" activeCell="S31" sqref="S31"/>
    </sheetView>
  </sheetViews>
  <sheetFormatPr defaultColWidth="9.109375" defaultRowHeight="15.75" customHeight="1" outlineLevelRow="1"/>
  <cols>
    <col min="1" max="1" width="2.88671875" style="3" customWidth="1"/>
    <col min="2" max="2" width="52.109375" style="3" customWidth="1"/>
    <col min="3" max="3" width="9.5546875" style="31" customWidth="1"/>
    <col min="4" max="4" width="11.88671875" style="31" customWidth="1"/>
    <col min="5" max="5" width="13.5546875" style="31" customWidth="1"/>
    <col min="6" max="6" width="10.33203125" style="31" customWidth="1"/>
    <col min="7" max="7" width="11.88671875" style="45" customWidth="1"/>
    <col min="8" max="8" width="12.33203125" style="31" customWidth="1"/>
    <col min="9" max="9" width="11.6640625" style="31" customWidth="1"/>
    <col min="10" max="10" width="10.5546875" style="31" customWidth="1"/>
    <col min="11" max="11" width="11.33203125" style="45" customWidth="1"/>
    <col min="12" max="12" width="11.33203125" style="31" customWidth="1"/>
    <col min="13" max="13" width="10.88671875" style="31" customWidth="1"/>
    <col min="14" max="14" width="11.109375" style="31" customWidth="1"/>
    <col min="15" max="15" width="13.88671875" style="45" hidden="1" customWidth="1"/>
    <col min="16" max="16" width="13.88671875" style="31" hidden="1" customWidth="1"/>
    <col min="17" max="17" width="10.88671875" style="31" hidden="1" customWidth="1"/>
    <col min="18" max="18" width="11.109375" style="31" hidden="1" customWidth="1"/>
    <col min="19" max="19" width="10.44140625" style="11" customWidth="1"/>
    <col min="20" max="20" width="10.5546875" style="31" customWidth="1"/>
    <col min="21" max="21" width="11.109375" style="67" customWidth="1"/>
    <col min="22" max="22" width="11.5546875" style="67" customWidth="1"/>
    <col min="23" max="23" width="13.109375" style="11" customWidth="1"/>
    <col min="24" max="24" width="6.109375" style="11" bestFit="1" customWidth="1"/>
    <col min="25" max="26" width="9.109375" style="11"/>
    <col min="27" max="27" width="9.109375" style="394"/>
    <col min="28" max="16384" width="9.109375" style="11"/>
  </cols>
  <sheetData>
    <row r="1" spans="1:27" ht="90.75" customHeight="1" thickBot="1"/>
    <row r="2" spans="1:27" ht="15.75" customHeight="1" thickBot="1">
      <c r="A2" s="322" t="s">
        <v>433</v>
      </c>
      <c r="B2" s="323"/>
      <c r="C2" s="1" t="s">
        <v>499</v>
      </c>
      <c r="D2" s="1" t="s">
        <v>539</v>
      </c>
      <c r="E2" s="86" t="s">
        <v>0</v>
      </c>
      <c r="F2" s="87" t="s">
        <v>1</v>
      </c>
      <c r="G2" s="1" t="s">
        <v>500</v>
      </c>
      <c r="H2" s="1" t="s">
        <v>540</v>
      </c>
      <c r="I2" s="86" t="s">
        <v>0</v>
      </c>
      <c r="J2" s="87" t="s">
        <v>1</v>
      </c>
      <c r="K2" s="1" t="s">
        <v>501</v>
      </c>
      <c r="L2" s="1" t="s">
        <v>541</v>
      </c>
      <c r="M2" s="86" t="s">
        <v>0</v>
      </c>
      <c r="N2" s="87" t="s">
        <v>1</v>
      </c>
      <c r="O2" s="1" t="s">
        <v>502</v>
      </c>
      <c r="P2" s="1" t="s">
        <v>542</v>
      </c>
      <c r="Q2" s="86" t="s">
        <v>0</v>
      </c>
      <c r="R2" s="87" t="s">
        <v>1</v>
      </c>
      <c r="S2" s="1">
        <v>2024</v>
      </c>
      <c r="T2" s="5">
        <v>2025</v>
      </c>
      <c r="U2" s="86" t="s">
        <v>0</v>
      </c>
      <c r="V2" s="87" t="s">
        <v>1</v>
      </c>
    </row>
    <row r="3" spans="1:27" ht="15.75" customHeight="1">
      <c r="A3" s="324" t="s">
        <v>8</v>
      </c>
      <c r="C3" s="47"/>
      <c r="D3" s="28"/>
      <c r="F3" s="32"/>
      <c r="G3" s="28"/>
      <c r="H3" s="28"/>
      <c r="J3" s="32"/>
      <c r="K3" s="28"/>
      <c r="L3" s="28"/>
      <c r="N3" s="32"/>
      <c r="O3" s="28"/>
      <c r="P3" s="28"/>
      <c r="R3" s="32"/>
      <c r="S3" s="46"/>
      <c r="T3" s="28"/>
      <c r="V3" s="68"/>
    </row>
    <row r="4" spans="1:27" s="389" customFormat="1" ht="15.75" customHeight="1" outlineLevel="1">
      <c r="A4" s="383"/>
      <c r="B4" s="384" t="s">
        <v>9</v>
      </c>
      <c r="C4" s="397">
        <v>9400</v>
      </c>
      <c r="D4" s="388">
        <v>5205</v>
      </c>
      <c r="E4" s="386">
        <f>IFERROR(D4/C4-1,"")</f>
        <v>-0.44627659574468082</v>
      </c>
      <c r="F4" s="387">
        <f>D4-C4</f>
        <v>-4195</v>
      </c>
      <c r="G4" s="385">
        <v>25465</v>
      </c>
      <c r="H4" s="388">
        <v>23293</v>
      </c>
      <c r="I4" s="386">
        <f>IFERROR(H4/G4-1,"")</f>
        <v>-8.5293540153151381E-2</v>
      </c>
      <c r="J4" s="387">
        <f>H4-G4</f>
        <v>-2172</v>
      </c>
      <c r="K4" s="385">
        <v>14707</v>
      </c>
      <c r="L4" s="388">
        <f>T4-D4-H4</f>
        <v>17452</v>
      </c>
      <c r="M4" s="386">
        <f>IFERROR(L4/K4-1,"")</f>
        <v>0.18664581491806631</v>
      </c>
      <c r="N4" s="387">
        <f>L4-K4</f>
        <v>2745</v>
      </c>
      <c r="O4" s="388">
        <v>35528</v>
      </c>
      <c r="P4" s="388"/>
      <c r="Q4" s="386">
        <f>IFERROR(P4/O4-1,"")</f>
        <v>-1</v>
      </c>
      <c r="R4" s="387">
        <f>P4-O4</f>
        <v>-35528</v>
      </c>
      <c r="S4" s="388">
        <f>C4+G4+K4</f>
        <v>49572</v>
      </c>
      <c r="T4" s="388">
        <f>[1]DFC1!G8</f>
        <v>45950</v>
      </c>
      <c r="U4" s="386">
        <f>IFERROR(T4/S4-1,"")</f>
        <v>-7.3065440167836671E-2</v>
      </c>
      <c r="V4" s="387">
        <f>T4-S4</f>
        <v>-3622</v>
      </c>
      <c r="W4" s="390"/>
      <c r="X4" s="390"/>
      <c r="AA4" s="395" t="s">
        <v>9</v>
      </c>
    </row>
    <row r="5" spans="1:27" ht="15.75" customHeight="1">
      <c r="A5" s="325" t="s">
        <v>10</v>
      </c>
      <c r="B5" s="326"/>
      <c r="C5" s="13"/>
      <c r="D5" s="95"/>
      <c r="E5" s="57"/>
      <c r="F5" s="96"/>
      <c r="G5" s="95">
        <v>0</v>
      </c>
      <c r="H5" s="95"/>
      <c r="I5" s="57"/>
      <c r="J5" s="96"/>
      <c r="K5" s="95">
        <v>0</v>
      </c>
      <c r="L5" s="95"/>
      <c r="M5" s="57"/>
      <c r="N5" s="96"/>
      <c r="O5" s="95"/>
      <c r="P5" s="95"/>
      <c r="Q5" s="57"/>
      <c r="R5" s="96"/>
      <c r="S5" s="95"/>
      <c r="T5" s="95"/>
      <c r="U5" s="57"/>
      <c r="V5" s="96"/>
      <c r="W5" s="390"/>
      <c r="X5" s="340"/>
    </row>
    <row r="6" spans="1:27" ht="15.75" customHeight="1" outlineLevel="1">
      <c r="A6" s="325"/>
      <c r="B6" s="326" t="s">
        <v>11</v>
      </c>
      <c r="C6" s="95">
        <v>2437</v>
      </c>
      <c r="D6" s="95">
        <v>2691</v>
      </c>
      <c r="E6" s="57">
        <f t="shared" ref="E6:E23" si="0">IFERROR(D6/C6-1,"")</f>
        <v>0.10422650800164135</v>
      </c>
      <c r="F6" s="96">
        <f t="shared" ref="F6:F23" si="1">D6-C6</f>
        <v>254</v>
      </c>
      <c r="G6" s="95">
        <v>2513</v>
      </c>
      <c r="H6" s="95">
        <v>2843</v>
      </c>
      <c r="I6" s="57">
        <f t="shared" ref="I6:I23" si="2">IFERROR(H6/G6-1,"")</f>
        <v>0.13131715081575801</v>
      </c>
      <c r="J6" s="96">
        <f t="shared" ref="J6:J23" si="3">H6-G6</f>
        <v>330</v>
      </c>
      <c r="K6" s="95">
        <v>2972</v>
      </c>
      <c r="L6" s="95">
        <f>T6-D6-H6</f>
        <v>2896</v>
      </c>
      <c r="M6" s="57">
        <f t="shared" ref="M6:M23" si="4">IFERROR(L6/K6-1,"")</f>
        <v>-2.5572005383580065E-2</v>
      </c>
      <c r="N6" s="96">
        <f t="shared" ref="N6:N23" si="5">L6-K6</f>
        <v>-76</v>
      </c>
      <c r="O6" s="95">
        <v>2654</v>
      </c>
      <c r="P6" s="95"/>
      <c r="Q6" s="57">
        <f t="shared" ref="Q6:Q23" si="6">IFERROR(P6/O6-1,"")</f>
        <v>-1</v>
      </c>
      <c r="R6" s="96">
        <f t="shared" ref="R6:R23" si="7">P6-O6</f>
        <v>-2654</v>
      </c>
      <c r="S6" s="100">
        <f>C6+G6+K6</f>
        <v>7922</v>
      </c>
      <c r="T6" s="95">
        <f>[1]DFC1!G11</f>
        <v>8430</v>
      </c>
      <c r="U6" s="57">
        <f t="shared" ref="U6:U23" si="8">IFERROR(T6/S6-1,"")</f>
        <v>6.4125220903812119E-2</v>
      </c>
      <c r="V6" s="96">
        <f t="shared" ref="V6:V23" si="9">T6-S6</f>
        <v>508</v>
      </c>
      <c r="W6" s="390"/>
      <c r="X6" s="340"/>
      <c r="AA6" s="394" t="s">
        <v>11</v>
      </c>
    </row>
    <row r="7" spans="1:27" ht="15.75" customHeight="1" outlineLevel="1">
      <c r="A7" s="325"/>
      <c r="B7" s="326" t="s">
        <v>434</v>
      </c>
      <c r="C7" s="95">
        <v>0</v>
      </c>
      <c r="D7" s="95"/>
      <c r="E7" s="57" t="str">
        <f t="shared" si="0"/>
        <v/>
      </c>
      <c r="F7" s="96">
        <f t="shared" si="1"/>
        <v>0</v>
      </c>
      <c r="G7" s="95">
        <v>0</v>
      </c>
      <c r="H7" s="95">
        <v>0</v>
      </c>
      <c r="I7" s="57" t="str">
        <f t="shared" si="2"/>
        <v/>
      </c>
      <c r="J7" s="96">
        <f t="shared" si="3"/>
        <v>0</v>
      </c>
      <c r="K7" s="95">
        <v>0</v>
      </c>
      <c r="L7" s="95">
        <f t="shared" ref="L7:L22" si="10">T7-D7-H7</f>
        <v>0</v>
      </c>
      <c r="M7" s="57" t="str">
        <f t="shared" si="4"/>
        <v/>
      </c>
      <c r="N7" s="96">
        <f t="shared" si="5"/>
        <v>0</v>
      </c>
      <c r="O7" s="95">
        <v>0</v>
      </c>
      <c r="P7" s="95"/>
      <c r="Q7" s="57" t="str">
        <f t="shared" si="6"/>
        <v/>
      </c>
      <c r="R7" s="96">
        <f t="shared" si="7"/>
        <v>0</v>
      </c>
      <c r="S7" s="100">
        <f t="shared" ref="S7:S22" si="11">C7+G7+K7</f>
        <v>0</v>
      </c>
      <c r="T7" s="95">
        <v>0</v>
      </c>
      <c r="U7" s="57" t="str">
        <f t="shared" si="8"/>
        <v/>
      </c>
      <c r="V7" s="96">
        <f t="shared" si="9"/>
        <v>0</v>
      </c>
      <c r="W7" s="390"/>
      <c r="X7" s="340"/>
      <c r="AA7" s="394" t="s">
        <v>538</v>
      </c>
    </row>
    <row r="8" spans="1:27" ht="15.75" customHeight="1" outlineLevel="1">
      <c r="A8" s="325"/>
      <c r="B8" s="326" t="s">
        <v>435</v>
      </c>
      <c r="C8" s="95">
        <v>-358</v>
      </c>
      <c r="D8" s="95">
        <v>1049</v>
      </c>
      <c r="E8" s="57">
        <f t="shared" si="0"/>
        <v>-3.930167597765363</v>
      </c>
      <c r="F8" s="96">
        <f t="shared" si="1"/>
        <v>1407</v>
      </c>
      <c r="G8" s="95">
        <v>296</v>
      </c>
      <c r="H8" s="95">
        <v>707</v>
      </c>
      <c r="I8" s="57">
        <f t="shared" si="2"/>
        <v>1.3885135135135136</v>
      </c>
      <c r="J8" s="96">
        <f t="shared" si="3"/>
        <v>411</v>
      </c>
      <c r="K8" s="95">
        <v>262</v>
      </c>
      <c r="L8" s="95">
        <f t="shared" si="10"/>
        <v>-232</v>
      </c>
      <c r="M8" s="57">
        <f t="shared" si="4"/>
        <v>-1.885496183206107</v>
      </c>
      <c r="N8" s="96">
        <f t="shared" si="5"/>
        <v>-494</v>
      </c>
      <c r="O8" s="95">
        <v>2310</v>
      </c>
      <c r="P8" s="95"/>
      <c r="Q8" s="57">
        <f t="shared" si="6"/>
        <v>-1</v>
      </c>
      <c r="R8" s="96">
        <f t="shared" si="7"/>
        <v>-2310</v>
      </c>
      <c r="S8" s="100">
        <f t="shared" si="11"/>
        <v>200</v>
      </c>
      <c r="T8" s="95">
        <f>VLOOKUP("Provisão (reversão) para valor recuperável de estoques",[1]DFC1!$A:$H,7,0)</f>
        <v>1524</v>
      </c>
      <c r="U8" s="57">
        <f t="shared" si="8"/>
        <v>6.62</v>
      </c>
      <c r="V8" s="96">
        <f t="shared" si="9"/>
        <v>1324</v>
      </c>
      <c r="W8" s="390"/>
      <c r="X8" s="340"/>
      <c r="AA8" s="394" t="s">
        <v>331</v>
      </c>
    </row>
    <row r="9" spans="1:27" ht="15.75" customHeight="1" outlineLevel="1">
      <c r="A9" s="325"/>
      <c r="B9" s="326" t="s">
        <v>12</v>
      </c>
      <c r="C9" s="95">
        <v>438</v>
      </c>
      <c r="D9" s="95">
        <v>532</v>
      </c>
      <c r="E9" s="57">
        <f t="shared" si="0"/>
        <v>0.21461187214611877</v>
      </c>
      <c r="F9" s="96">
        <f t="shared" si="1"/>
        <v>94</v>
      </c>
      <c r="G9" s="95">
        <v>-307</v>
      </c>
      <c r="H9" s="95">
        <v>763</v>
      </c>
      <c r="I9" s="57">
        <f t="shared" si="2"/>
        <v>-3.4853420195439742</v>
      </c>
      <c r="J9" s="96">
        <f t="shared" si="3"/>
        <v>1070</v>
      </c>
      <c r="K9" s="95">
        <v>1493</v>
      </c>
      <c r="L9" s="95">
        <f t="shared" si="10"/>
        <v>1182</v>
      </c>
      <c r="M9" s="57">
        <f t="shared" si="4"/>
        <v>-0.20830542531815133</v>
      </c>
      <c r="N9" s="96">
        <f t="shared" si="5"/>
        <v>-311</v>
      </c>
      <c r="O9" s="95">
        <v>183</v>
      </c>
      <c r="P9" s="95"/>
      <c r="Q9" s="57">
        <f t="shared" si="6"/>
        <v>-1</v>
      </c>
      <c r="R9" s="96">
        <f t="shared" si="7"/>
        <v>-183</v>
      </c>
      <c r="S9" s="100">
        <f t="shared" si="11"/>
        <v>1624</v>
      </c>
      <c r="T9" s="100">
        <f>VLOOKUP("Provisão (reversão) para valor recuperável de contas a receber",[1]DFC1!$A:$H,7,0)</f>
        <v>2477</v>
      </c>
      <c r="U9" s="57">
        <f t="shared" si="8"/>
        <v>0.52524630541871931</v>
      </c>
      <c r="V9" s="96">
        <f t="shared" si="9"/>
        <v>853</v>
      </c>
      <c r="W9" s="390"/>
      <c r="X9" s="340"/>
      <c r="AA9" s="394" t="s">
        <v>531</v>
      </c>
    </row>
    <row r="10" spans="1:27" ht="15.75" customHeight="1" outlineLevel="1">
      <c r="A10" s="325"/>
      <c r="B10" s="326" t="s">
        <v>462</v>
      </c>
      <c r="C10" s="95">
        <v>0</v>
      </c>
      <c r="D10" s="95"/>
      <c r="E10" s="57" t="str">
        <f t="shared" si="0"/>
        <v/>
      </c>
      <c r="F10" s="96">
        <f t="shared" si="1"/>
        <v>0</v>
      </c>
      <c r="G10" s="95">
        <v>0</v>
      </c>
      <c r="H10" s="95">
        <v>0</v>
      </c>
      <c r="I10" s="57" t="str">
        <f t="shared" si="2"/>
        <v/>
      </c>
      <c r="J10" s="96">
        <f t="shared" si="3"/>
        <v>0</v>
      </c>
      <c r="K10" s="95">
        <v>0</v>
      </c>
      <c r="L10" s="95">
        <f t="shared" si="10"/>
        <v>0</v>
      </c>
      <c r="M10" s="57" t="str">
        <f t="shared" si="4"/>
        <v/>
      </c>
      <c r="N10" s="96">
        <f t="shared" si="5"/>
        <v>0</v>
      </c>
      <c r="O10" s="95">
        <v>-1760</v>
      </c>
      <c r="P10" s="95"/>
      <c r="Q10" s="57">
        <f t="shared" si="6"/>
        <v>-1</v>
      </c>
      <c r="R10" s="96">
        <f t="shared" si="7"/>
        <v>1760</v>
      </c>
      <c r="S10" s="100">
        <f t="shared" si="11"/>
        <v>0</v>
      </c>
      <c r="T10" s="95">
        <f>VLOOKUP(B10,[1]DFC1!$A:$H,7,0)</f>
        <v>0</v>
      </c>
      <c r="U10" s="57" t="str">
        <f t="shared" si="8"/>
        <v/>
      </c>
      <c r="V10" s="96">
        <f t="shared" si="9"/>
        <v>0</v>
      </c>
      <c r="W10" s="390"/>
      <c r="X10" s="340"/>
      <c r="AA10" s="394" t="s">
        <v>462</v>
      </c>
    </row>
    <row r="11" spans="1:27" ht="15.75" customHeight="1" outlineLevel="1">
      <c r="A11" s="325"/>
      <c r="B11" s="326" t="s">
        <v>436</v>
      </c>
      <c r="C11" s="95">
        <v>0</v>
      </c>
      <c r="D11" s="95"/>
      <c r="E11" s="57" t="str">
        <f t="shared" si="0"/>
        <v/>
      </c>
      <c r="F11" s="96">
        <f t="shared" si="1"/>
        <v>0</v>
      </c>
      <c r="G11" s="95">
        <v>0</v>
      </c>
      <c r="H11" s="95">
        <v>0</v>
      </c>
      <c r="I11" s="57" t="str">
        <f t="shared" si="2"/>
        <v/>
      </c>
      <c r="J11" s="96">
        <f t="shared" si="3"/>
        <v>0</v>
      </c>
      <c r="K11" s="95">
        <v>-1143</v>
      </c>
      <c r="L11" s="95">
        <f t="shared" si="10"/>
        <v>0</v>
      </c>
      <c r="M11" s="57">
        <f t="shared" si="4"/>
        <v>-1</v>
      </c>
      <c r="N11" s="96">
        <f t="shared" si="5"/>
        <v>1143</v>
      </c>
      <c r="O11" s="95">
        <v>-57</v>
      </c>
      <c r="P11" s="95"/>
      <c r="Q11" s="57">
        <f t="shared" si="6"/>
        <v>-1</v>
      </c>
      <c r="R11" s="96">
        <f t="shared" si="7"/>
        <v>57</v>
      </c>
      <c r="S11" s="100">
        <f t="shared" si="11"/>
        <v>-1143</v>
      </c>
      <c r="T11" s="95">
        <f>VLOOKUP(B11,[1]DFC1!$A:$H,7,0)</f>
        <v>0</v>
      </c>
      <c r="U11" s="57">
        <f t="shared" si="8"/>
        <v>-1</v>
      </c>
      <c r="V11" s="96">
        <f t="shared" si="9"/>
        <v>1143</v>
      </c>
      <c r="W11" s="390"/>
      <c r="X11" s="340"/>
      <c r="AA11" s="394" t="s">
        <v>436</v>
      </c>
    </row>
    <row r="12" spans="1:27" ht="15.75" customHeight="1" outlineLevel="1">
      <c r="A12" s="325"/>
      <c r="B12" s="326" t="s">
        <v>458</v>
      </c>
      <c r="C12" s="95">
        <v>0</v>
      </c>
      <c r="D12" s="95"/>
      <c r="E12" s="57" t="str">
        <f t="shared" si="0"/>
        <v/>
      </c>
      <c r="F12" s="96">
        <f t="shared" si="1"/>
        <v>0</v>
      </c>
      <c r="G12" s="95">
        <v>0</v>
      </c>
      <c r="H12" s="95">
        <v>0</v>
      </c>
      <c r="I12" s="57" t="str">
        <f t="shared" si="2"/>
        <v/>
      </c>
      <c r="J12" s="96">
        <f t="shared" si="3"/>
        <v>0</v>
      </c>
      <c r="K12" s="95">
        <v>0</v>
      </c>
      <c r="L12" s="95">
        <f t="shared" si="10"/>
        <v>0</v>
      </c>
      <c r="M12" s="57" t="str">
        <f t="shared" si="4"/>
        <v/>
      </c>
      <c r="N12" s="96">
        <f t="shared" si="5"/>
        <v>0</v>
      </c>
      <c r="O12" s="95">
        <v>0</v>
      </c>
      <c r="P12" s="95"/>
      <c r="Q12" s="57" t="str">
        <f t="shared" si="6"/>
        <v/>
      </c>
      <c r="R12" s="96">
        <f t="shared" si="7"/>
        <v>0</v>
      </c>
      <c r="S12" s="100">
        <f t="shared" si="11"/>
        <v>0</v>
      </c>
      <c r="T12" s="95">
        <f>VLOOKUP(B12,[1]DFC1!$A:$H,7,0)</f>
        <v>0</v>
      </c>
      <c r="U12" s="57" t="str">
        <f t="shared" si="8"/>
        <v/>
      </c>
      <c r="V12" s="96">
        <f t="shared" si="9"/>
        <v>0</v>
      </c>
      <c r="W12" s="390"/>
      <c r="X12" s="340"/>
      <c r="AA12" s="394" t="s">
        <v>458</v>
      </c>
    </row>
    <row r="13" spans="1:27" ht="15.75" customHeight="1" outlineLevel="1">
      <c r="A13" s="325"/>
      <c r="B13" s="326" t="s">
        <v>437</v>
      </c>
      <c r="C13" s="95">
        <v>-5579</v>
      </c>
      <c r="D13" s="95">
        <v>592</v>
      </c>
      <c r="E13" s="57">
        <f t="shared" si="0"/>
        <v>-1.106112206488618</v>
      </c>
      <c r="F13" s="96">
        <f t="shared" si="1"/>
        <v>6171</v>
      </c>
      <c r="G13" s="95">
        <v>-3500</v>
      </c>
      <c r="H13" s="95">
        <v>256</v>
      </c>
      <c r="I13" s="57">
        <f t="shared" si="2"/>
        <v>-1.0731428571428572</v>
      </c>
      <c r="J13" s="96">
        <f t="shared" si="3"/>
        <v>3756</v>
      </c>
      <c r="K13" s="95">
        <v>69</v>
      </c>
      <c r="L13" s="95">
        <f t="shared" si="10"/>
        <v>63</v>
      </c>
      <c r="M13" s="57">
        <f t="shared" si="4"/>
        <v>-8.6956521739130488E-2</v>
      </c>
      <c r="N13" s="96">
        <f t="shared" si="5"/>
        <v>-6</v>
      </c>
      <c r="O13" s="95">
        <v>1182</v>
      </c>
      <c r="P13" s="95"/>
      <c r="Q13" s="57">
        <f t="shared" si="6"/>
        <v>-1</v>
      </c>
      <c r="R13" s="96">
        <f t="shared" si="7"/>
        <v>-1182</v>
      </c>
      <c r="S13" s="100">
        <f t="shared" si="11"/>
        <v>-9010</v>
      </c>
      <c r="T13" s="95">
        <f>[1]DFC1!$G$17</f>
        <v>911</v>
      </c>
      <c r="U13" s="57">
        <f t="shared" si="8"/>
        <v>-1.1011098779134296</v>
      </c>
      <c r="V13" s="96">
        <f t="shared" si="9"/>
        <v>9921</v>
      </c>
      <c r="W13" s="390"/>
      <c r="X13" s="340"/>
      <c r="AA13" s="394" t="s">
        <v>45</v>
      </c>
    </row>
    <row r="14" spans="1:27" ht="15.75" customHeight="1" outlineLevel="1">
      <c r="A14" s="325"/>
      <c r="B14" s="326" t="s">
        <v>13</v>
      </c>
      <c r="C14" s="95">
        <v>1</v>
      </c>
      <c r="D14" s="95">
        <v>-115</v>
      </c>
      <c r="E14" s="57">
        <f t="shared" si="0"/>
        <v>-116</v>
      </c>
      <c r="F14" s="96">
        <f t="shared" si="1"/>
        <v>-116</v>
      </c>
      <c r="G14" s="95">
        <v>-43</v>
      </c>
      <c r="H14" s="95">
        <v>224</v>
      </c>
      <c r="I14" s="57">
        <f t="shared" si="2"/>
        <v>-6.2093023255813957</v>
      </c>
      <c r="J14" s="96">
        <f t="shared" si="3"/>
        <v>267</v>
      </c>
      <c r="K14" s="95">
        <v>-319</v>
      </c>
      <c r="L14" s="95">
        <f t="shared" si="10"/>
        <v>296</v>
      </c>
      <c r="M14" s="57">
        <f t="shared" si="4"/>
        <v>-1.9278996865203761</v>
      </c>
      <c r="N14" s="96">
        <f t="shared" si="5"/>
        <v>615</v>
      </c>
      <c r="O14" s="95">
        <v>381</v>
      </c>
      <c r="P14" s="95"/>
      <c r="Q14" s="57">
        <f t="shared" si="6"/>
        <v>-1</v>
      </c>
      <c r="R14" s="96">
        <f t="shared" si="7"/>
        <v>-381</v>
      </c>
      <c r="S14" s="100">
        <f t="shared" si="11"/>
        <v>-361</v>
      </c>
      <c r="T14" s="95">
        <f>VLOOKUP(B14,[1]DFC1!$A:$H,7,0)</f>
        <v>405</v>
      </c>
      <c r="U14" s="57">
        <f t="shared" si="8"/>
        <v>-2.121883656509695</v>
      </c>
      <c r="V14" s="96">
        <f t="shared" si="9"/>
        <v>766</v>
      </c>
      <c r="W14" s="390"/>
      <c r="X14" s="340"/>
      <c r="AA14" s="394" t="s">
        <v>13</v>
      </c>
    </row>
    <row r="15" spans="1:27" ht="15.75" customHeight="1" outlineLevel="1">
      <c r="A15" s="325"/>
      <c r="B15" s="326" t="s">
        <v>14</v>
      </c>
      <c r="C15" s="95">
        <v>0</v>
      </c>
      <c r="D15" s="95"/>
      <c r="E15" s="57" t="str">
        <f t="shared" si="0"/>
        <v/>
      </c>
      <c r="F15" s="96">
        <f t="shared" si="1"/>
        <v>0</v>
      </c>
      <c r="G15" s="95">
        <v>0</v>
      </c>
      <c r="H15" s="95">
        <v>0</v>
      </c>
      <c r="I15" s="57" t="str">
        <f t="shared" si="2"/>
        <v/>
      </c>
      <c r="J15" s="96">
        <f t="shared" si="3"/>
        <v>0</v>
      </c>
      <c r="K15" s="95">
        <v>0</v>
      </c>
      <c r="L15" s="95">
        <f t="shared" si="10"/>
        <v>0</v>
      </c>
      <c r="M15" s="57" t="str">
        <f t="shared" si="4"/>
        <v/>
      </c>
      <c r="N15" s="96">
        <f t="shared" si="5"/>
        <v>0</v>
      </c>
      <c r="O15" s="95">
        <v>0</v>
      </c>
      <c r="P15" s="95"/>
      <c r="Q15" s="57" t="str">
        <f t="shared" si="6"/>
        <v/>
      </c>
      <c r="R15" s="96">
        <f t="shared" si="7"/>
        <v>0</v>
      </c>
      <c r="S15" s="100">
        <f t="shared" si="11"/>
        <v>0</v>
      </c>
      <c r="T15" s="95">
        <v>0</v>
      </c>
      <c r="U15" s="57" t="str">
        <f t="shared" si="8"/>
        <v/>
      </c>
      <c r="V15" s="96">
        <f t="shared" si="9"/>
        <v>0</v>
      </c>
      <c r="W15" s="390"/>
      <c r="X15" s="340"/>
      <c r="AA15" s="394" t="s">
        <v>532</v>
      </c>
    </row>
    <row r="16" spans="1:27" ht="15.75" customHeight="1" outlineLevel="1">
      <c r="A16" s="325"/>
      <c r="B16" s="326" t="s">
        <v>457</v>
      </c>
      <c r="C16" s="95">
        <v>0</v>
      </c>
      <c r="D16" s="95"/>
      <c r="E16" s="57" t="str">
        <f t="shared" si="0"/>
        <v/>
      </c>
      <c r="F16" s="96">
        <f t="shared" si="1"/>
        <v>0</v>
      </c>
      <c r="G16" s="95">
        <v>0</v>
      </c>
      <c r="H16" s="95">
        <v>0</v>
      </c>
      <c r="I16" s="57" t="str">
        <f t="shared" si="2"/>
        <v/>
      </c>
      <c r="J16" s="96">
        <f t="shared" si="3"/>
        <v>0</v>
      </c>
      <c r="K16" s="95">
        <v>0</v>
      </c>
      <c r="L16" s="95">
        <f t="shared" si="10"/>
        <v>0</v>
      </c>
      <c r="M16" s="57" t="str">
        <f t="shared" si="4"/>
        <v/>
      </c>
      <c r="N16" s="96">
        <f t="shared" si="5"/>
        <v>0</v>
      </c>
      <c r="O16" s="95">
        <v>0</v>
      </c>
      <c r="P16" s="95"/>
      <c r="Q16" s="57" t="str">
        <f t="shared" si="6"/>
        <v/>
      </c>
      <c r="R16" s="96">
        <f t="shared" si="7"/>
        <v>0</v>
      </c>
      <c r="S16" s="100">
        <f t="shared" si="11"/>
        <v>0</v>
      </c>
      <c r="T16" s="95">
        <v>0</v>
      </c>
      <c r="U16" s="57" t="str">
        <f t="shared" si="8"/>
        <v/>
      </c>
      <c r="V16" s="96">
        <f t="shared" si="9"/>
        <v>0</v>
      </c>
      <c r="W16" s="390"/>
      <c r="X16" s="340"/>
      <c r="AA16" s="394" t="s">
        <v>457</v>
      </c>
    </row>
    <row r="17" spans="1:27" ht="15.75" customHeight="1" outlineLevel="1">
      <c r="A17" s="325"/>
      <c r="B17" s="326" t="s">
        <v>15</v>
      </c>
      <c r="C17" s="95">
        <v>3483</v>
      </c>
      <c r="D17" s="95">
        <v>3253</v>
      </c>
      <c r="E17" s="57">
        <f t="shared" si="0"/>
        <v>-6.6035027275337388E-2</v>
      </c>
      <c r="F17" s="96">
        <f t="shared" si="1"/>
        <v>-230</v>
      </c>
      <c r="G17" s="95">
        <v>2826</v>
      </c>
      <c r="H17" s="95">
        <v>3258</v>
      </c>
      <c r="I17" s="57">
        <f t="shared" si="2"/>
        <v>0.15286624203821653</v>
      </c>
      <c r="J17" s="96">
        <f t="shared" si="3"/>
        <v>432</v>
      </c>
      <c r="K17" s="95">
        <v>3554</v>
      </c>
      <c r="L17" s="95">
        <f t="shared" si="10"/>
        <v>3267</v>
      </c>
      <c r="M17" s="57">
        <f t="shared" si="4"/>
        <v>-8.0754079909960641E-2</v>
      </c>
      <c r="N17" s="96">
        <f t="shared" si="5"/>
        <v>-287</v>
      </c>
      <c r="O17" s="95">
        <v>2472</v>
      </c>
      <c r="P17" s="95"/>
      <c r="Q17" s="57">
        <f t="shared" si="6"/>
        <v>-1</v>
      </c>
      <c r="R17" s="96">
        <f t="shared" si="7"/>
        <v>-2472</v>
      </c>
      <c r="S17" s="100">
        <f t="shared" si="11"/>
        <v>9863</v>
      </c>
      <c r="T17" s="95">
        <f>VLOOKUP(B17,[1]DFC1!$A:$H,7,0)</f>
        <v>9778</v>
      </c>
      <c r="U17" s="57">
        <f t="shared" si="8"/>
        <v>-8.6180675250937533E-3</v>
      </c>
      <c r="V17" s="96">
        <f t="shared" si="9"/>
        <v>-85</v>
      </c>
      <c r="W17" s="390"/>
      <c r="X17" s="340"/>
      <c r="AA17" s="394" t="s">
        <v>15</v>
      </c>
    </row>
    <row r="18" spans="1:27" ht="15.75" customHeight="1" outlineLevel="1">
      <c r="A18" s="327"/>
      <c r="B18" s="326" t="s">
        <v>456</v>
      </c>
      <c r="C18" s="95">
        <v>113</v>
      </c>
      <c r="D18" s="95">
        <v>-2689</v>
      </c>
      <c r="E18" s="57">
        <f t="shared" si="0"/>
        <v>-24.79646017699115</v>
      </c>
      <c r="F18" s="96">
        <f t="shared" si="1"/>
        <v>-2802</v>
      </c>
      <c r="G18" s="95">
        <v>102</v>
      </c>
      <c r="H18" s="95">
        <v>-230</v>
      </c>
      <c r="I18" s="57">
        <f t="shared" si="2"/>
        <v>-3.2549019607843137</v>
      </c>
      <c r="J18" s="96">
        <f t="shared" si="3"/>
        <v>-332</v>
      </c>
      <c r="K18" s="95">
        <v>286</v>
      </c>
      <c r="L18" s="95">
        <f t="shared" si="10"/>
        <v>-1176</v>
      </c>
      <c r="M18" s="57">
        <f t="shared" si="4"/>
        <v>-5.1118881118881117</v>
      </c>
      <c r="N18" s="96">
        <f t="shared" si="5"/>
        <v>-1462</v>
      </c>
      <c r="O18" s="95">
        <v>4381</v>
      </c>
      <c r="P18" s="95"/>
      <c r="Q18" s="57">
        <f t="shared" si="6"/>
        <v>-1</v>
      </c>
      <c r="R18" s="96">
        <f t="shared" si="7"/>
        <v>-4381</v>
      </c>
      <c r="S18" s="100">
        <f t="shared" si="11"/>
        <v>501</v>
      </c>
      <c r="T18" s="95">
        <f>VLOOKUP(B18,[1]DFC1!$A:$H,7,0)</f>
        <v>-4095</v>
      </c>
      <c r="U18" s="57">
        <f t="shared" si="8"/>
        <v>-9.1736526946107784</v>
      </c>
      <c r="V18" s="96">
        <f t="shared" si="9"/>
        <v>-4596</v>
      </c>
      <c r="W18" s="390"/>
      <c r="X18" s="340"/>
      <c r="AA18" s="394" t="s">
        <v>456</v>
      </c>
    </row>
    <row r="19" spans="1:27" ht="15.75" customHeight="1" outlineLevel="1">
      <c r="A19" s="327"/>
      <c r="B19" s="326" t="s">
        <v>414</v>
      </c>
      <c r="C19" s="95">
        <v>-1121</v>
      </c>
      <c r="D19" s="95">
        <v>9844</v>
      </c>
      <c r="E19" s="57">
        <f t="shared" si="0"/>
        <v>-9.7814451382694028</v>
      </c>
      <c r="F19" s="96">
        <f t="shared" si="1"/>
        <v>10965</v>
      </c>
      <c r="G19" s="95">
        <v>-3232</v>
      </c>
      <c r="H19" s="95">
        <v>3380</v>
      </c>
      <c r="I19" s="57">
        <f t="shared" si="2"/>
        <v>-2.0457920792079207</v>
      </c>
      <c r="J19" s="96">
        <f t="shared" si="3"/>
        <v>6612</v>
      </c>
      <c r="K19" s="95">
        <v>3665</v>
      </c>
      <c r="L19" s="95">
        <f>T19-D19-H19</f>
        <v>302</v>
      </c>
      <c r="M19" s="57">
        <f t="shared" si="4"/>
        <v>-0.91759890859481585</v>
      </c>
      <c r="N19" s="96">
        <f t="shared" si="5"/>
        <v>-3363</v>
      </c>
      <c r="O19" s="95">
        <v>-8179</v>
      </c>
      <c r="P19" s="95"/>
      <c r="Q19" s="57">
        <f t="shared" si="6"/>
        <v>-1</v>
      </c>
      <c r="R19" s="96">
        <f t="shared" si="7"/>
        <v>8179</v>
      </c>
      <c r="S19" s="100">
        <f>C19+G19+K19</f>
        <v>-688</v>
      </c>
      <c r="T19" s="95">
        <f>VLOOKUP(B19,[1]DFC1!$A:$H,7,0)</f>
        <v>13526</v>
      </c>
      <c r="U19" s="57">
        <f t="shared" si="8"/>
        <v>-20.659883720930232</v>
      </c>
      <c r="V19" s="96">
        <f t="shared" si="9"/>
        <v>14214</v>
      </c>
      <c r="W19" s="390"/>
      <c r="X19" s="340"/>
      <c r="AA19" s="394" t="s">
        <v>414</v>
      </c>
    </row>
    <row r="20" spans="1:27" ht="15.75" customHeight="1" outlineLevel="1">
      <c r="A20" s="327"/>
      <c r="B20" s="328" t="s">
        <v>16</v>
      </c>
      <c r="C20" s="95">
        <v>996</v>
      </c>
      <c r="D20" s="95">
        <v>1155</v>
      </c>
      <c r="E20" s="57">
        <f t="shared" si="0"/>
        <v>0.15963855421686746</v>
      </c>
      <c r="F20" s="96">
        <f t="shared" si="1"/>
        <v>159</v>
      </c>
      <c r="G20" s="95">
        <v>859</v>
      </c>
      <c r="H20" s="95">
        <v>1732</v>
      </c>
      <c r="I20" s="57">
        <f t="shared" si="2"/>
        <v>1.0162980209545984</v>
      </c>
      <c r="J20" s="96">
        <f t="shared" si="3"/>
        <v>873</v>
      </c>
      <c r="K20" s="95">
        <v>699</v>
      </c>
      <c r="L20" s="95">
        <f t="shared" si="10"/>
        <v>1620</v>
      </c>
      <c r="M20" s="57">
        <f t="shared" si="4"/>
        <v>1.3175965665236054</v>
      </c>
      <c r="N20" s="96">
        <f t="shared" si="5"/>
        <v>921</v>
      </c>
      <c r="O20" s="95">
        <v>687</v>
      </c>
      <c r="P20" s="95"/>
      <c r="Q20" s="57">
        <f t="shared" si="6"/>
        <v>-1</v>
      </c>
      <c r="R20" s="96">
        <f t="shared" si="7"/>
        <v>-687</v>
      </c>
      <c r="S20" s="100">
        <f t="shared" si="11"/>
        <v>2554</v>
      </c>
      <c r="T20" s="95">
        <f>VLOOKUP(B20,[1]DFC1!$A:$H,7,0)</f>
        <v>4507</v>
      </c>
      <c r="U20" s="57">
        <f t="shared" si="8"/>
        <v>0.76468285043069684</v>
      </c>
      <c r="V20" s="96">
        <f t="shared" si="9"/>
        <v>1953</v>
      </c>
      <c r="W20" s="390"/>
      <c r="X20" s="340"/>
      <c r="AA20" s="394" t="s">
        <v>16</v>
      </c>
    </row>
    <row r="21" spans="1:27" ht="15.75" customHeight="1" outlineLevel="1">
      <c r="A21" s="327"/>
      <c r="B21" s="328" t="s">
        <v>70</v>
      </c>
      <c r="C21" s="95">
        <v>0</v>
      </c>
      <c r="D21" s="95">
        <v>0</v>
      </c>
      <c r="E21" s="69" t="str">
        <f t="shared" si="0"/>
        <v/>
      </c>
      <c r="F21" s="96">
        <f t="shared" si="1"/>
        <v>0</v>
      </c>
      <c r="G21" s="95">
        <v>0</v>
      </c>
      <c r="H21" s="95">
        <v>0</v>
      </c>
      <c r="I21" s="69" t="str">
        <f t="shared" si="2"/>
        <v/>
      </c>
      <c r="J21" s="96">
        <f t="shared" si="3"/>
        <v>0</v>
      </c>
      <c r="K21" s="95">
        <v>0</v>
      </c>
      <c r="L21" s="95">
        <f t="shared" si="10"/>
        <v>0</v>
      </c>
      <c r="M21" s="69" t="str">
        <f t="shared" si="4"/>
        <v/>
      </c>
      <c r="N21" s="96">
        <f t="shared" si="5"/>
        <v>0</v>
      </c>
      <c r="O21" s="95">
        <v>0</v>
      </c>
      <c r="P21" s="95"/>
      <c r="Q21" s="69" t="str">
        <f t="shared" si="6"/>
        <v/>
      </c>
      <c r="R21" s="96">
        <f t="shared" si="7"/>
        <v>0</v>
      </c>
      <c r="S21" s="100">
        <f t="shared" si="11"/>
        <v>0</v>
      </c>
      <c r="T21" s="95">
        <v>0</v>
      </c>
      <c r="U21" s="69" t="str">
        <f t="shared" si="8"/>
        <v/>
      </c>
      <c r="V21" s="96">
        <f t="shared" si="9"/>
        <v>0</v>
      </c>
      <c r="W21" s="390"/>
      <c r="X21" s="340"/>
      <c r="AA21" s="394" t="s">
        <v>538</v>
      </c>
    </row>
    <row r="22" spans="1:27" ht="15.75" customHeight="1" outlineLevel="1">
      <c r="A22" s="327"/>
      <c r="B22" s="328" t="s">
        <v>17</v>
      </c>
      <c r="C22" s="95">
        <v>-82</v>
      </c>
      <c r="D22" s="95">
        <v>153</v>
      </c>
      <c r="E22" s="69">
        <f t="shared" si="0"/>
        <v>-2.8658536585365857</v>
      </c>
      <c r="F22" s="96">
        <f t="shared" si="1"/>
        <v>235</v>
      </c>
      <c r="G22" s="95">
        <v>-380</v>
      </c>
      <c r="H22" s="95">
        <v>483</v>
      </c>
      <c r="I22" s="69">
        <f t="shared" si="2"/>
        <v>-2.2710526315789474</v>
      </c>
      <c r="J22" s="96">
        <f t="shared" si="3"/>
        <v>863</v>
      </c>
      <c r="K22" s="95">
        <v>65</v>
      </c>
      <c r="L22" s="95">
        <f t="shared" si="10"/>
        <v>78</v>
      </c>
      <c r="M22" s="69">
        <f t="shared" si="4"/>
        <v>0.19999999999999996</v>
      </c>
      <c r="N22" s="96">
        <f t="shared" si="5"/>
        <v>13</v>
      </c>
      <c r="O22" s="95">
        <v>-753</v>
      </c>
      <c r="P22" s="95"/>
      <c r="Q22" s="69">
        <f t="shared" si="6"/>
        <v>-1</v>
      </c>
      <c r="R22" s="96">
        <f t="shared" si="7"/>
        <v>753</v>
      </c>
      <c r="S22" s="100">
        <f t="shared" si="11"/>
        <v>-397</v>
      </c>
      <c r="T22" s="95">
        <f>VLOOKUP(B22,[1]DFC1!$A:$H,7,0)</f>
        <v>714</v>
      </c>
      <c r="U22" s="69">
        <f t="shared" si="8"/>
        <v>-2.7984886649874054</v>
      </c>
      <c r="V22" s="96">
        <f t="shared" si="9"/>
        <v>1111</v>
      </c>
      <c r="W22" s="390"/>
      <c r="X22" s="340"/>
      <c r="Y22" s="340"/>
      <c r="AA22" s="394" t="s">
        <v>17</v>
      </c>
    </row>
    <row r="23" spans="1:27" ht="15.75" customHeight="1" outlineLevel="1">
      <c r="A23" s="331"/>
      <c r="B23" s="332"/>
      <c r="C23" s="18">
        <v>9728</v>
      </c>
      <c r="D23" s="18">
        <f>SUM(D4:D22)</f>
        <v>21670</v>
      </c>
      <c r="E23" s="71">
        <f t="shared" si="0"/>
        <v>1.2275904605263159</v>
      </c>
      <c r="F23" s="97">
        <f t="shared" si="1"/>
        <v>11942</v>
      </c>
      <c r="G23" s="18">
        <v>24599</v>
      </c>
      <c r="H23" s="18">
        <v>36709</v>
      </c>
      <c r="I23" s="71">
        <f t="shared" si="2"/>
        <v>0.49229643481442342</v>
      </c>
      <c r="J23" s="97">
        <f t="shared" si="3"/>
        <v>12110</v>
      </c>
      <c r="K23" s="18">
        <v>26310</v>
      </c>
      <c r="L23" s="18">
        <f>SUM(L4:L22)</f>
        <v>25748</v>
      </c>
      <c r="M23" s="71">
        <f t="shared" si="4"/>
        <v>-2.136069935385787E-2</v>
      </c>
      <c r="N23" s="97">
        <f t="shared" si="5"/>
        <v>-562</v>
      </c>
      <c r="O23" s="18">
        <v>39029</v>
      </c>
      <c r="P23" s="18"/>
      <c r="Q23" s="71">
        <f t="shared" si="6"/>
        <v>-1</v>
      </c>
      <c r="R23" s="97">
        <f t="shared" si="7"/>
        <v>-39029</v>
      </c>
      <c r="S23" s="18">
        <f>SUM(S4:S22)</f>
        <v>60637</v>
      </c>
      <c r="T23" s="18">
        <f>SUM(T4:T22)</f>
        <v>84127</v>
      </c>
      <c r="U23" s="71">
        <f t="shared" si="8"/>
        <v>0.38738723881458514</v>
      </c>
      <c r="V23" s="97">
        <f t="shared" si="9"/>
        <v>23490</v>
      </c>
      <c r="W23" s="390"/>
      <c r="X23" s="340"/>
    </row>
    <row r="24" spans="1:27" ht="20.25" customHeight="1">
      <c r="A24" s="324" t="s">
        <v>18</v>
      </c>
      <c r="C24" s="15"/>
      <c r="D24" s="45"/>
      <c r="E24" s="57"/>
      <c r="F24" s="58"/>
      <c r="G24" s="45">
        <v>0</v>
      </c>
      <c r="H24" s="45"/>
      <c r="I24" s="57"/>
      <c r="J24" s="58"/>
      <c r="K24" s="45">
        <v>0</v>
      </c>
      <c r="L24" s="45"/>
      <c r="M24" s="57"/>
      <c r="N24" s="58"/>
      <c r="P24" s="45"/>
      <c r="Q24" s="57"/>
      <c r="R24" s="58"/>
      <c r="S24" s="45"/>
      <c r="T24" s="24"/>
      <c r="U24" s="57"/>
      <c r="V24" s="58"/>
      <c r="W24" s="390"/>
      <c r="X24" s="340"/>
    </row>
    <row r="25" spans="1:27" ht="15.75" customHeight="1" outlineLevel="1">
      <c r="A25" s="324"/>
      <c r="B25" s="326" t="s">
        <v>438</v>
      </c>
      <c r="C25" s="15"/>
      <c r="D25" s="95"/>
      <c r="E25" s="57" t="str">
        <f t="shared" ref="E25:E36" si="12">IFERROR(D25/C25-1,"")</f>
        <v/>
      </c>
      <c r="F25" s="58">
        <f t="shared" ref="F25:F36" si="13">D25-C25</f>
        <v>0</v>
      </c>
      <c r="G25" s="95">
        <v>0</v>
      </c>
      <c r="H25" s="95">
        <v>0</v>
      </c>
      <c r="I25" s="57" t="str">
        <f t="shared" ref="I25:I36" si="14">IFERROR(H25/G25-1,"")</f>
        <v/>
      </c>
      <c r="J25" s="58">
        <f t="shared" ref="J25:J36" si="15">H25-G25</f>
        <v>0</v>
      </c>
      <c r="K25" s="95">
        <v>0</v>
      </c>
      <c r="L25" s="95">
        <f>T25-D25-H25</f>
        <v>0</v>
      </c>
      <c r="M25" s="57" t="str">
        <f t="shared" ref="M25:M36" si="16">IFERROR(L25/K25-1,"")</f>
        <v/>
      </c>
      <c r="N25" s="58">
        <f t="shared" ref="N25:N36" si="17">L25-K25</f>
        <v>0</v>
      </c>
      <c r="O25" s="95">
        <v>0</v>
      </c>
      <c r="P25" s="95"/>
      <c r="Q25" s="57" t="str">
        <f t="shared" ref="Q25:Q36" si="18">IFERROR(P25/O25-1,"")</f>
        <v/>
      </c>
      <c r="R25" s="58">
        <f t="shared" ref="R25:R36" si="19">P25-O25</f>
        <v>0</v>
      </c>
      <c r="S25" s="95">
        <f>C25+G25+K25</f>
        <v>0</v>
      </c>
      <c r="T25" s="15"/>
      <c r="U25" s="57" t="str">
        <f t="shared" ref="U25:U36" si="20">IFERROR(T25/S25-1,"")</f>
        <v/>
      </c>
      <c r="V25" s="58">
        <f t="shared" ref="V25:V36" si="21">T25-S25</f>
        <v>0</v>
      </c>
      <c r="W25" s="390"/>
      <c r="X25" s="340"/>
      <c r="AA25" s="394" t="s">
        <v>538</v>
      </c>
    </row>
    <row r="26" spans="1:27" ht="15.75" customHeight="1" outlineLevel="1">
      <c r="A26" s="325"/>
      <c r="B26" s="326" t="s">
        <v>439</v>
      </c>
      <c r="C26" s="95">
        <v>15538</v>
      </c>
      <c r="D26" s="95">
        <v>13298</v>
      </c>
      <c r="E26" s="57">
        <f t="shared" si="12"/>
        <v>-0.14416269790191782</v>
      </c>
      <c r="F26" s="96">
        <f t="shared" si="13"/>
        <v>-2240</v>
      </c>
      <c r="G26" s="95">
        <v>-17592</v>
      </c>
      <c r="H26" s="95">
        <v>-18339</v>
      </c>
      <c r="I26" s="57">
        <f t="shared" si="14"/>
        <v>4.2462482946793889E-2</v>
      </c>
      <c r="J26" s="96">
        <f t="shared" si="15"/>
        <v>-747</v>
      </c>
      <c r="K26" s="95">
        <v>2106</v>
      </c>
      <c r="L26" s="95">
        <f t="shared" ref="L26:L35" si="22">T26-D26-H26</f>
        <v>3441</v>
      </c>
      <c r="M26" s="57">
        <f t="shared" si="16"/>
        <v>0.6339031339031338</v>
      </c>
      <c r="N26" s="96">
        <f t="shared" si="17"/>
        <v>1335</v>
      </c>
      <c r="O26" s="95">
        <v>-38734</v>
      </c>
      <c r="P26" s="95"/>
      <c r="Q26" s="57">
        <f t="shared" si="18"/>
        <v>-1</v>
      </c>
      <c r="R26" s="96">
        <f t="shared" si="19"/>
        <v>38734</v>
      </c>
      <c r="S26" s="95">
        <f t="shared" ref="S26:S35" si="23">C26+G26+K26</f>
        <v>52</v>
      </c>
      <c r="T26" s="100">
        <f>VLOOKUP("Redução de contas a receber",[1]DFC1!$A:$H,7,0)</f>
        <v>-1600</v>
      </c>
      <c r="U26" s="57">
        <f t="shared" si="20"/>
        <v>-31.76923076923077</v>
      </c>
      <c r="V26" s="96">
        <f t="shared" si="21"/>
        <v>-1652</v>
      </c>
      <c r="W26" s="390"/>
      <c r="X26" s="340"/>
      <c r="Y26"/>
      <c r="Z26" s="340"/>
      <c r="AA26" s="394" t="s">
        <v>349</v>
      </c>
    </row>
    <row r="27" spans="1:27" ht="15.75" customHeight="1" outlineLevel="1">
      <c r="A27" s="325"/>
      <c r="B27" s="326" t="s">
        <v>19</v>
      </c>
      <c r="C27" s="95">
        <v>-3423</v>
      </c>
      <c r="D27" s="95">
        <v>-19266</v>
      </c>
      <c r="E27" s="57">
        <f t="shared" si="12"/>
        <v>4.6283961437335668</v>
      </c>
      <c r="F27" s="96">
        <f t="shared" si="13"/>
        <v>-15843</v>
      </c>
      <c r="G27" s="95">
        <v>8028</v>
      </c>
      <c r="H27" s="95">
        <v>-4047</v>
      </c>
      <c r="I27" s="57">
        <f t="shared" si="14"/>
        <v>-1.5041106128550075</v>
      </c>
      <c r="J27" s="96">
        <f t="shared" si="15"/>
        <v>-12075</v>
      </c>
      <c r="K27" s="95">
        <v>-33356</v>
      </c>
      <c r="L27" s="95">
        <f t="shared" si="22"/>
        <v>-18594</v>
      </c>
      <c r="M27" s="57">
        <f t="shared" si="16"/>
        <v>-0.44255905983930932</v>
      </c>
      <c r="N27" s="96">
        <f t="shared" si="17"/>
        <v>14762</v>
      </c>
      <c r="O27" s="95">
        <v>2590</v>
      </c>
      <c r="P27" s="95"/>
      <c r="Q27" s="57">
        <f t="shared" si="18"/>
        <v>-1</v>
      </c>
      <c r="R27" s="96">
        <f t="shared" si="19"/>
        <v>-2590</v>
      </c>
      <c r="S27" s="95">
        <f t="shared" si="23"/>
        <v>-28751</v>
      </c>
      <c r="T27" s="100">
        <f>VLOOKUP(B27,[1]DFC1!$A:$H,7,0)</f>
        <v>-41907</v>
      </c>
      <c r="U27" s="57">
        <f t="shared" si="20"/>
        <v>0.45758408403185968</v>
      </c>
      <c r="V27" s="96">
        <f t="shared" si="21"/>
        <v>-13156</v>
      </c>
      <c r="W27" s="390"/>
      <c r="X27" s="340"/>
      <c r="Y27"/>
      <c r="AA27" s="394" t="s">
        <v>19</v>
      </c>
    </row>
    <row r="28" spans="1:27" ht="15.75" customHeight="1" outlineLevel="1">
      <c r="A28" s="325"/>
      <c r="B28" s="326" t="s">
        <v>20</v>
      </c>
      <c r="C28" s="95">
        <v>2599</v>
      </c>
      <c r="D28" s="95">
        <v>7837</v>
      </c>
      <c r="E28" s="57">
        <f t="shared" si="12"/>
        <v>2.0153905348210852</v>
      </c>
      <c r="F28" s="96">
        <f t="shared" si="13"/>
        <v>5238</v>
      </c>
      <c r="G28" s="100">
        <v>684</v>
      </c>
      <c r="H28" s="95">
        <v>5490</v>
      </c>
      <c r="I28" s="57">
        <f t="shared" si="14"/>
        <v>7.026315789473685</v>
      </c>
      <c r="J28" s="96">
        <f t="shared" si="15"/>
        <v>4806</v>
      </c>
      <c r="K28" s="100">
        <v>1918</v>
      </c>
      <c r="L28" s="95">
        <f t="shared" si="22"/>
        <v>-10066</v>
      </c>
      <c r="M28" s="57">
        <f t="shared" si="16"/>
        <v>-6.2481751824817522</v>
      </c>
      <c r="N28" s="96">
        <f t="shared" si="17"/>
        <v>-11984</v>
      </c>
      <c r="O28" s="95">
        <v>-5201</v>
      </c>
      <c r="P28" s="95"/>
      <c r="Q28" s="57">
        <f t="shared" si="18"/>
        <v>-1</v>
      </c>
      <c r="R28" s="96">
        <f t="shared" si="19"/>
        <v>5201</v>
      </c>
      <c r="S28" s="95">
        <f t="shared" si="23"/>
        <v>5201</v>
      </c>
      <c r="T28" s="100">
        <f>VLOOKUP(B28,[1]DFC1!$A:$H,7,0)</f>
        <v>3261</v>
      </c>
      <c r="U28" s="57">
        <f t="shared" si="20"/>
        <v>-0.3730051913093636</v>
      </c>
      <c r="V28" s="96">
        <f t="shared" si="21"/>
        <v>-1940</v>
      </c>
      <c r="W28" s="390"/>
      <c r="X28" s="340"/>
      <c r="Y28"/>
      <c r="AA28" s="394" t="s">
        <v>20</v>
      </c>
    </row>
    <row r="29" spans="1:27" ht="15.75" customHeight="1" outlineLevel="1">
      <c r="A29" s="325"/>
      <c r="B29" s="326" t="s">
        <v>53</v>
      </c>
      <c r="C29" s="95">
        <v>-1608</v>
      </c>
      <c r="D29" s="95">
        <v>-400</v>
      </c>
      <c r="E29" s="57">
        <f t="shared" si="12"/>
        <v>-0.75124378109452739</v>
      </c>
      <c r="F29" s="96">
        <f t="shared" si="13"/>
        <v>1208</v>
      </c>
      <c r="G29" s="95">
        <v>-1035</v>
      </c>
      <c r="H29" s="95">
        <v>-1864</v>
      </c>
      <c r="I29" s="57">
        <f t="shared" si="14"/>
        <v>0.80096618357487914</v>
      </c>
      <c r="J29" s="96">
        <f t="shared" si="15"/>
        <v>-829</v>
      </c>
      <c r="K29" s="95">
        <v>-175</v>
      </c>
      <c r="L29" s="95">
        <f t="shared" si="22"/>
        <v>-2124</v>
      </c>
      <c r="M29" s="57">
        <f t="shared" si="16"/>
        <v>11.137142857142857</v>
      </c>
      <c r="N29" s="96">
        <f t="shared" si="17"/>
        <v>-1949</v>
      </c>
      <c r="O29" s="95">
        <v>1462</v>
      </c>
      <c r="P29" s="95"/>
      <c r="Q29" s="57">
        <f t="shared" si="18"/>
        <v>-1</v>
      </c>
      <c r="R29" s="96">
        <f t="shared" si="19"/>
        <v>-1462</v>
      </c>
      <c r="S29" s="95">
        <f t="shared" si="23"/>
        <v>-2818</v>
      </c>
      <c r="T29" s="100">
        <f>VLOOKUP(B29,[1]DFC1!$A:$H,7,0)</f>
        <v>-4388</v>
      </c>
      <c r="U29" s="57">
        <f t="shared" si="20"/>
        <v>0.55713271823988642</v>
      </c>
      <c r="V29" s="96">
        <f t="shared" si="21"/>
        <v>-1570</v>
      </c>
      <c r="W29" s="390"/>
      <c r="X29" s="340"/>
      <c r="Y29"/>
      <c r="AA29" s="394" t="s">
        <v>53</v>
      </c>
    </row>
    <row r="30" spans="1:27" ht="15.75" customHeight="1" outlineLevel="1">
      <c r="A30" s="325"/>
      <c r="B30" s="326" t="s">
        <v>21</v>
      </c>
      <c r="C30" s="95">
        <v>-3939</v>
      </c>
      <c r="D30" s="95">
        <v>-11995</v>
      </c>
      <c r="E30" s="57">
        <f t="shared" si="12"/>
        <v>2.0451891342980453</v>
      </c>
      <c r="F30" s="96">
        <f t="shared" si="13"/>
        <v>-8056</v>
      </c>
      <c r="G30" s="95">
        <v>-5319</v>
      </c>
      <c r="H30" s="95">
        <v>-7356</v>
      </c>
      <c r="I30" s="57">
        <f t="shared" si="14"/>
        <v>0.38296672306824586</v>
      </c>
      <c r="J30" s="96">
        <f t="shared" si="15"/>
        <v>-2037</v>
      </c>
      <c r="K30" s="95">
        <v>30982</v>
      </c>
      <c r="L30" s="95">
        <f t="shared" si="22"/>
        <v>3906</v>
      </c>
      <c r="M30" s="57">
        <f t="shared" si="16"/>
        <v>-0.87392679620424762</v>
      </c>
      <c r="N30" s="96">
        <f t="shared" si="17"/>
        <v>-27076</v>
      </c>
      <c r="O30" s="95">
        <v>8736</v>
      </c>
      <c r="P30" s="95"/>
      <c r="Q30" s="57">
        <f t="shared" si="18"/>
        <v>-1</v>
      </c>
      <c r="R30" s="96">
        <f t="shared" si="19"/>
        <v>-8736</v>
      </c>
      <c r="S30" s="95">
        <f t="shared" si="23"/>
        <v>21724</v>
      </c>
      <c r="T30" s="100">
        <f>VLOOKUP(B30,[1]DFC1!$A:$H,7,0)</f>
        <v>-15445</v>
      </c>
      <c r="U30" s="57">
        <f t="shared" si="20"/>
        <v>-1.7109648315227397</v>
      </c>
      <c r="V30" s="96">
        <f t="shared" si="21"/>
        <v>-37169</v>
      </c>
      <c r="W30" s="390"/>
      <c r="X30" s="340"/>
      <c r="Y30" s="392"/>
      <c r="AA30" s="394" t="s">
        <v>21</v>
      </c>
    </row>
    <row r="31" spans="1:27" ht="15.75" customHeight="1" outlineLevel="1">
      <c r="A31" s="325"/>
      <c r="B31" s="326" t="s">
        <v>440</v>
      </c>
      <c r="C31" s="95">
        <v>-2739</v>
      </c>
      <c r="D31" s="95">
        <v>-4482</v>
      </c>
      <c r="E31" s="57">
        <f t="shared" si="12"/>
        <v>0.63636363636363646</v>
      </c>
      <c r="F31" s="96">
        <f t="shared" si="13"/>
        <v>-1743</v>
      </c>
      <c r="G31" s="95">
        <v>2464</v>
      </c>
      <c r="H31" s="95">
        <v>4178</v>
      </c>
      <c r="I31" s="57">
        <f t="shared" si="14"/>
        <v>0.69561688311688319</v>
      </c>
      <c r="J31" s="96">
        <f t="shared" si="15"/>
        <v>1714</v>
      </c>
      <c r="K31" s="95">
        <v>2531</v>
      </c>
      <c r="L31" s="95">
        <f t="shared" si="22"/>
        <v>4078</v>
      </c>
      <c r="M31" s="57">
        <f t="shared" si="16"/>
        <v>0.6112208613196366</v>
      </c>
      <c r="N31" s="96">
        <f t="shared" si="17"/>
        <v>1547</v>
      </c>
      <c r="O31" s="95">
        <v>79</v>
      </c>
      <c r="P31" s="95"/>
      <c r="Q31" s="57">
        <f t="shared" si="18"/>
        <v>-1</v>
      </c>
      <c r="R31" s="96">
        <f t="shared" si="19"/>
        <v>-79</v>
      </c>
      <c r="S31" s="95">
        <f t="shared" si="23"/>
        <v>2256</v>
      </c>
      <c r="T31" s="100">
        <f>VLOOKUP("Aumento (redução) em salários e encargos sociais pagar",[1]DFC1!$A:$H,7,0)</f>
        <v>3774</v>
      </c>
      <c r="U31" s="57">
        <f t="shared" si="20"/>
        <v>0.6728723404255319</v>
      </c>
      <c r="V31" s="96">
        <f t="shared" si="21"/>
        <v>1518</v>
      </c>
      <c r="W31" s="390"/>
      <c r="X31" s="340"/>
      <c r="Y31" s="307"/>
      <c r="AA31" s="394" t="s">
        <v>355</v>
      </c>
    </row>
    <row r="32" spans="1:27" ht="15.75" customHeight="1" outlineLevel="1">
      <c r="A32" s="325"/>
      <c r="B32" s="326" t="s">
        <v>543</v>
      </c>
      <c r="C32" s="95">
        <v>-2981</v>
      </c>
      <c r="D32" s="95">
        <v>-6250</v>
      </c>
      <c r="E32" s="57">
        <f t="shared" si="12"/>
        <v>1.096611875209661</v>
      </c>
      <c r="F32" s="96">
        <f t="shared" si="13"/>
        <v>-3269</v>
      </c>
      <c r="G32" s="95">
        <v>-1963</v>
      </c>
      <c r="H32" s="95">
        <v>-7341</v>
      </c>
      <c r="I32" s="57">
        <f t="shared" si="14"/>
        <v>2.7396841569026997</v>
      </c>
      <c r="J32" s="96">
        <f t="shared" si="15"/>
        <v>-5378</v>
      </c>
      <c r="K32" s="95">
        <v>-3085</v>
      </c>
      <c r="L32" s="95">
        <f t="shared" si="22"/>
        <v>11360</v>
      </c>
      <c r="M32" s="57">
        <f t="shared" si="16"/>
        <v>-4.6823338735818476</v>
      </c>
      <c r="N32" s="96">
        <f t="shared" si="17"/>
        <v>14445</v>
      </c>
      <c r="O32" s="95">
        <v>12594</v>
      </c>
      <c r="P32" s="95"/>
      <c r="Q32" s="57">
        <f t="shared" si="18"/>
        <v>-1</v>
      </c>
      <c r="R32" s="96">
        <f t="shared" si="19"/>
        <v>-12594</v>
      </c>
      <c r="S32" s="95">
        <f t="shared" si="23"/>
        <v>-8029</v>
      </c>
      <c r="T32" s="100">
        <f>VLOOKUP(B32,[1]DFC1!$A:$H,7,0)</f>
        <v>-2231</v>
      </c>
      <c r="U32" s="57">
        <f t="shared" si="20"/>
        <v>-0.72213227051936735</v>
      </c>
      <c r="V32" s="96">
        <f t="shared" si="21"/>
        <v>5798</v>
      </c>
      <c r="W32" s="390"/>
      <c r="X32" s="340"/>
      <c r="Y32"/>
      <c r="AA32" s="394" t="s">
        <v>22</v>
      </c>
    </row>
    <row r="33" spans="1:27" ht="15.75" customHeight="1" outlineLevel="1">
      <c r="A33" s="325"/>
      <c r="B33" s="326" t="s">
        <v>23</v>
      </c>
      <c r="C33" s="95">
        <v>-3397</v>
      </c>
      <c r="D33" s="95">
        <v>-2953</v>
      </c>
      <c r="E33" s="57">
        <f t="shared" si="12"/>
        <v>-0.13070356196644095</v>
      </c>
      <c r="F33" s="96">
        <f t="shared" si="13"/>
        <v>444</v>
      </c>
      <c r="G33" s="95">
        <v>-3176</v>
      </c>
      <c r="H33" s="95">
        <v>-2789</v>
      </c>
      <c r="I33" s="57">
        <f t="shared" si="14"/>
        <v>-0.12185138539042817</v>
      </c>
      <c r="J33" s="96">
        <f t="shared" si="15"/>
        <v>387</v>
      </c>
      <c r="K33" s="95">
        <v>-3138</v>
      </c>
      <c r="L33" s="95">
        <f>T33-D33-H33</f>
        <v>-3048</v>
      </c>
      <c r="M33" s="57">
        <f t="shared" si="16"/>
        <v>-2.8680688336520044E-2</v>
      </c>
      <c r="N33" s="96">
        <f t="shared" si="17"/>
        <v>90</v>
      </c>
      <c r="O33" s="95">
        <v>-3147</v>
      </c>
      <c r="P33" s="95"/>
      <c r="Q33" s="57">
        <f t="shared" si="18"/>
        <v>-1</v>
      </c>
      <c r="R33" s="96">
        <f t="shared" si="19"/>
        <v>3147</v>
      </c>
      <c r="S33" s="95">
        <f t="shared" si="23"/>
        <v>-9711</v>
      </c>
      <c r="T33" s="100">
        <f>VLOOKUP(B33,[1]DFC1!$A:$H,7,0)</f>
        <v>-8790</v>
      </c>
      <c r="U33" s="57">
        <f t="shared" si="20"/>
        <v>-9.4840902069817767E-2</v>
      </c>
      <c r="V33" s="96">
        <f t="shared" si="21"/>
        <v>921</v>
      </c>
      <c r="W33" s="390"/>
      <c r="X33" s="340"/>
      <c r="Y33"/>
      <c r="AA33" s="394" t="s">
        <v>23</v>
      </c>
    </row>
    <row r="34" spans="1:27" ht="15.75" customHeight="1" outlineLevel="1">
      <c r="A34" s="325"/>
      <c r="B34" s="326" t="s">
        <v>24</v>
      </c>
      <c r="C34" s="95">
        <v>-115</v>
      </c>
      <c r="D34" s="95">
        <v>-2818</v>
      </c>
      <c r="E34" s="57">
        <f t="shared" si="12"/>
        <v>23.504347826086956</v>
      </c>
      <c r="F34" s="96">
        <f t="shared" si="13"/>
        <v>-2703</v>
      </c>
      <c r="G34" s="95">
        <v>-1847</v>
      </c>
      <c r="H34" s="95">
        <v>-6908</v>
      </c>
      <c r="I34" s="57">
        <f t="shared" si="14"/>
        <v>2.740119112073633</v>
      </c>
      <c r="J34" s="96">
        <f t="shared" si="15"/>
        <v>-5061</v>
      </c>
      <c r="K34" s="95">
        <v>0</v>
      </c>
      <c r="L34" s="95">
        <f t="shared" si="22"/>
        <v>-1849</v>
      </c>
      <c r="M34" s="57" t="str">
        <f t="shared" si="16"/>
        <v/>
      </c>
      <c r="N34" s="96">
        <f t="shared" si="17"/>
        <v>-1849</v>
      </c>
      <c r="O34" s="95">
        <v>-7776</v>
      </c>
      <c r="P34" s="95"/>
      <c r="Q34" s="57">
        <f t="shared" si="18"/>
        <v>-1</v>
      </c>
      <c r="R34" s="96">
        <f t="shared" si="19"/>
        <v>7776</v>
      </c>
      <c r="S34" s="95">
        <f t="shared" si="23"/>
        <v>-1962</v>
      </c>
      <c r="T34" s="95">
        <f>VLOOKUP(B34,[1]DFC1!$A:$H,7,0)</f>
        <v>-11575</v>
      </c>
      <c r="U34" s="57">
        <f t="shared" si="20"/>
        <v>4.899592252803262</v>
      </c>
      <c r="V34" s="96">
        <f t="shared" si="21"/>
        <v>-9613</v>
      </c>
      <c r="W34" s="390"/>
      <c r="X34" s="340"/>
      <c r="Y34"/>
      <c r="AA34" s="394" t="s">
        <v>24</v>
      </c>
    </row>
    <row r="35" spans="1:27" ht="15.75" customHeight="1">
      <c r="A35" s="327"/>
      <c r="B35" s="328" t="s">
        <v>17</v>
      </c>
      <c r="C35" s="14">
        <v>0</v>
      </c>
      <c r="D35" s="95">
        <v>0</v>
      </c>
      <c r="E35" s="69" t="str">
        <f t="shared" si="12"/>
        <v/>
      </c>
      <c r="F35" s="70">
        <f t="shared" si="13"/>
        <v>0</v>
      </c>
      <c r="G35" s="95">
        <v>0</v>
      </c>
      <c r="H35" s="95">
        <v>0</v>
      </c>
      <c r="I35" s="69" t="str">
        <f t="shared" si="14"/>
        <v/>
      </c>
      <c r="J35" s="70">
        <f t="shared" si="15"/>
        <v>0</v>
      </c>
      <c r="K35" s="95">
        <v>0</v>
      </c>
      <c r="L35" s="95">
        <f t="shared" si="22"/>
        <v>0</v>
      </c>
      <c r="M35" s="69" t="str">
        <f t="shared" si="16"/>
        <v/>
      </c>
      <c r="N35" s="70">
        <f t="shared" si="17"/>
        <v>0</v>
      </c>
      <c r="O35" s="95">
        <v>0</v>
      </c>
      <c r="P35" s="95"/>
      <c r="Q35" s="69" t="str">
        <f t="shared" si="18"/>
        <v/>
      </c>
      <c r="R35" s="70">
        <f t="shared" si="19"/>
        <v>0</v>
      </c>
      <c r="S35" s="95">
        <f t="shared" si="23"/>
        <v>0</v>
      </c>
      <c r="T35" s="95">
        <v>0</v>
      </c>
      <c r="U35" s="69" t="str">
        <f t="shared" si="20"/>
        <v/>
      </c>
      <c r="V35" s="70">
        <f t="shared" si="21"/>
        <v>0</v>
      </c>
      <c r="W35" s="390"/>
      <c r="X35" s="340"/>
      <c r="Y35"/>
      <c r="AA35" s="394" t="s">
        <v>538</v>
      </c>
    </row>
    <row r="36" spans="1:27" ht="15.75" customHeight="1" outlineLevel="1">
      <c r="A36" s="331" t="s">
        <v>441</v>
      </c>
      <c r="B36" s="332"/>
      <c r="C36" s="17">
        <v>9663</v>
      </c>
      <c r="D36" s="17">
        <f>SUM(D26:D35,D23)</f>
        <v>-5359</v>
      </c>
      <c r="E36" s="71">
        <f t="shared" si="12"/>
        <v>-1.5545896719445307</v>
      </c>
      <c r="F36" s="97">
        <f t="shared" si="13"/>
        <v>-15022</v>
      </c>
      <c r="G36" s="17">
        <v>4843</v>
      </c>
      <c r="H36" s="17">
        <v>-2267</v>
      </c>
      <c r="I36" s="71">
        <f t="shared" si="14"/>
        <v>-1.4680982861862482</v>
      </c>
      <c r="J36" s="97">
        <f t="shared" si="15"/>
        <v>-7110</v>
      </c>
      <c r="K36" s="17">
        <v>24093</v>
      </c>
      <c r="L36" s="17">
        <f>SUM(L26:L35,L23)</f>
        <v>12852</v>
      </c>
      <c r="M36" s="71">
        <f t="shared" si="16"/>
        <v>-0.46656705267090026</v>
      </c>
      <c r="N36" s="97">
        <f t="shared" si="17"/>
        <v>-11241</v>
      </c>
      <c r="O36" s="17">
        <v>9632</v>
      </c>
      <c r="P36" s="17"/>
      <c r="Q36" s="71">
        <f t="shared" si="18"/>
        <v>-1</v>
      </c>
      <c r="R36" s="97">
        <f t="shared" si="19"/>
        <v>-9632</v>
      </c>
      <c r="S36" s="17">
        <f>SUM(S23:S35)</f>
        <v>38599</v>
      </c>
      <c r="T36" s="17">
        <f>SUM(T23:T35)</f>
        <v>5226</v>
      </c>
      <c r="U36" s="71">
        <f t="shared" si="20"/>
        <v>-0.86460789139615013</v>
      </c>
      <c r="V36" s="97">
        <f t="shared" si="21"/>
        <v>-33373</v>
      </c>
      <c r="W36" s="390"/>
      <c r="X36" s="340"/>
      <c r="Y36"/>
    </row>
    <row r="37" spans="1:27" ht="15.75" customHeight="1" outlineLevel="1">
      <c r="A37" s="325" t="s">
        <v>25</v>
      </c>
      <c r="B37" s="326"/>
      <c r="C37" s="13"/>
      <c r="D37" s="24"/>
      <c r="E37" s="57"/>
      <c r="F37" s="58"/>
      <c r="G37" s="24">
        <v>0</v>
      </c>
      <c r="H37" s="24"/>
      <c r="I37" s="57"/>
      <c r="J37" s="58"/>
      <c r="K37" s="24">
        <v>0</v>
      </c>
      <c r="L37" s="24"/>
      <c r="M37" s="57"/>
      <c r="N37" s="58"/>
      <c r="O37" s="24"/>
      <c r="P37" s="24"/>
      <c r="Q37" s="57"/>
      <c r="R37" s="58"/>
      <c r="S37" s="24"/>
      <c r="T37" s="24"/>
      <c r="U37" s="57"/>
      <c r="V37" s="58"/>
      <c r="W37" s="390"/>
      <c r="X37" s="340"/>
      <c r="Y37"/>
    </row>
    <row r="38" spans="1:27" ht="15.75" customHeight="1" outlineLevel="1">
      <c r="A38" s="325"/>
      <c r="B38" s="326" t="s">
        <v>405</v>
      </c>
      <c r="C38" s="100">
        <v>0</v>
      </c>
      <c r="D38" s="95">
        <v>0</v>
      </c>
      <c r="E38" s="57" t="str">
        <f t="shared" ref="E38:E47" si="24">IFERROR(D38/C38-1,"")</f>
        <v/>
      </c>
      <c r="F38" s="96">
        <f t="shared" ref="F38:F47" si="25">D38-C38</f>
        <v>0</v>
      </c>
      <c r="G38" s="95">
        <v>0</v>
      </c>
      <c r="H38" s="95">
        <v>0</v>
      </c>
      <c r="I38" s="57" t="str">
        <f t="shared" ref="I38:I47" si="26">IFERROR(H38/G38-1,"")</f>
        <v/>
      </c>
      <c r="J38" s="96">
        <f t="shared" ref="J38:J47" si="27">H38-G38</f>
        <v>0</v>
      </c>
      <c r="K38" s="95">
        <v>0</v>
      </c>
      <c r="L38" s="95">
        <f>T38-D38-H38</f>
        <v>0</v>
      </c>
      <c r="M38" s="57" t="str">
        <f t="shared" ref="M38:M47" si="28">IFERROR(L38/K38-1,"")</f>
        <v/>
      </c>
      <c r="N38" s="96">
        <f t="shared" ref="N38:N47" si="29">L38-K38</f>
        <v>0</v>
      </c>
      <c r="O38" s="95">
        <v>0</v>
      </c>
      <c r="P38" s="95"/>
      <c r="Q38" s="57" t="str">
        <f t="shared" ref="Q38:Q47" si="30">IFERROR(P38/O38-1,"")</f>
        <v/>
      </c>
      <c r="R38" s="96">
        <f t="shared" ref="R38:R47" si="31">P38-O38</f>
        <v>0</v>
      </c>
      <c r="S38" s="95">
        <f>C38+G38+K38</f>
        <v>0</v>
      </c>
      <c r="T38" s="95">
        <v>0</v>
      </c>
      <c r="U38" s="57" t="str">
        <f t="shared" ref="U38:U47" si="32">IFERROR(T38/S38-1,"")</f>
        <v/>
      </c>
      <c r="V38" s="96">
        <f t="shared" ref="V38:V47" si="33">T38-S38</f>
        <v>0</v>
      </c>
      <c r="W38" s="390"/>
      <c r="X38" s="340"/>
      <c r="Y38"/>
      <c r="AA38" s="394" t="s">
        <v>538</v>
      </c>
    </row>
    <row r="39" spans="1:27" ht="15.75" customHeight="1" outlineLevel="1">
      <c r="A39" s="325"/>
      <c r="B39" s="326" t="s">
        <v>442</v>
      </c>
      <c r="C39" s="95">
        <v>0</v>
      </c>
      <c r="D39" s="95">
        <v>0</v>
      </c>
      <c r="E39" s="57" t="str">
        <f t="shared" si="24"/>
        <v/>
      </c>
      <c r="F39" s="96">
        <f t="shared" si="25"/>
        <v>0</v>
      </c>
      <c r="G39" s="95">
        <v>0</v>
      </c>
      <c r="H39" s="95">
        <v>0</v>
      </c>
      <c r="I39" s="57" t="str">
        <f t="shared" si="26"/>
        <v/>
      </c>
      <c r="J39" s="96">
        <f t="shared" si="27"/>
        <v>0</v>
      </c>
      <c r="K39" s="95">
        <v>0</v>
      </c>
      <c r="L39" s="95">
        <f t="shared" ref="L39:L46" si="34">T39-D39-H39</f>
        <v>0</v>
      </c>
      <c r="M39" s="57" t="str">
        <f t="shared" si="28"/>
        <v/>
      </c>
      <c r="N39" s="96">
        <f t="shared" si="29"/>
        <v>0</v>
      </c>
      <c r="O39" s="95">
        <v>0</v>
      </c>
      <c r="P39" s="95"/>
      <c r="Q39" s="57" t="str">
        <f t="shared" si="30"/>
        <v/>
      </c>
      <c r="R39" s="96">
        <f t="shared" si="31"/>
        <v>0</v>
      </c>
      <c r="S39" s="95">
        <f t="shared" ref="S39:S45" si="35">C39+G39+K39</f>
        <v>0</v>
      </c>
      <c r="T39" s="95">
        <v>0</v>
      </c>
      <c r="U39" s="57" t="str">
        <f t="shared" si="32"/>
        <v/>
      </c>
      <c r="V39" s="96">
        <f t="shared" si="33"/>
        <v>0</v>
      </c>
      <c r="W39" s="390"/>
      <c r="X39" s="340"/>
      <c r="Y39"/>
      <c r="AA39" s="394" t="s">
        <v>535</v>
      </c>
    </row>
    <row r="40" spans="1:27" ht="15.75" customHeight="1" outlineLevel="1">
      <c r="A40" s="325"/>
      <c r="B40" s="326" t="s">
        <v>443</v>
      </c>
      <c r="C40" s="95">
        <v>0</v>
      </c>
      <c r="D40" s="95">
        <v>0</v>
      </c>
      <c r="E40" s="57" t="str">
        <f t="shared" si="24"/>
        <v/>
      </c>
      <c r="F40" s="96">
        <f t="shared" si="25"/>
        <v>0</v>
      </c>
      <c r="G40" s="95">
        <v>0</v>
      </c>
      <c r="H40" s="95">
        <v>0</v>
      </c>
      <c r="I40" s="57" t="str">
        <f t="shared" si="26"/>
        <v/>
      </c>
      <c r="J40" s="96">
        <f t="shared" si="27"/>
        <v>0</v>
      </c>
      <c r="K40" s="95">
        <v>0</v>
      </c>
      <c r="L40" s="95">
        <f t="shared" si="34"/>
        <v>0</v>
      </c>
      <c r="M40" s="57" t="str">
        <f t="shared" si="28"/>
        <v/>
      </c>
      <c r="N40" s="96">
        <f t="shared" si="29"/>
        <v>0</v>
      </c>
      <c r="O40" s="95">
        <v>0</v>
      </c>
      <c r="P40" s="95"/>
      <c r="Q40" s="57" t="str">
        <f t="shared" si="30"/>
        <v/>
      </c>
      <c r="R40" s="96">
        <f t="shared" si="31"/>
        <v>0</v>
      </c>
      <c r="S40" s="95">
        <f t="shared" si="35"/>
        <v>0</v>
      </c>
      <c r="T40" s="95"/>
      <c r="U40" s="57" t="str">
        <f t="shared" si="32"/>
        <v/>
      </c>
      <c r="V40" s="96">
        <f t="shared" si="33"/>
        <v>0</v>
      </c>
      <c r="W40" s="390"/>
      <c r="X40" s="340"/>
      <c r="Y40"/>
      <c r="AA40" s="394" t="s">
        <v>538</v>
      </c>
    </row>
    <row r="41" spans="1:27" ht="15.75" customHeight="1" outlineLevel="1">
      <c r="A41" s="325"/>
      <c r="B41" s="326" t="s">
        <v>444</v>
      </c>
      <c r="C41" s="95">
        <v>0</v>
      </c>
      <c r="D41" s="95">
        <v>0</v>
      </c>
      <c r="E41" s="57" t="str">
        <f t="shared" si="24"/>
        <v/>
      </c>
      <c r="F41" s="96">
        <f t="shared" si="25"/>
        <v>0</v>
      </c>
      <c r="G41" s="95">
        <v>0</v>
      </c>
      <c r="H41" s="95">
        <v>0</v>
      </c>
      <c r="I41" s="57" t="str">
        <f t="shared" si="26"/>
        <v/>
      </c>
      <c r="J41" s="96">
        <f t="shared" si="27"/>
        <v>0</v>
      </c>
      <c r="K41" s="95">
        <v>0</v>
      </c>
      <c r="L41" s="95">
        <f t="shared" si="34"/>
        <v>0</v>
      </c>
      <c r="M41" s="57" t="str">
        <f t="shared" si="28"/>
        <v/>
      </c>
      <c r="N41" s="96">
        <f t="shared" si="29"/>
        <v>0</v>
      </c>
      <c r="O41" s="95">
        <v>0</v>
      </c>
      <c r="P41" s="95"/>
      <c r="Q41" s="57" t="str">
        <f t="shared" si="30"/>
        <v/>
      </c>
      <c r="R41" s="96">
        <f t="shared" si="31"/>
        <v>0</v>
      </c>
      <c r="S41" s="95">
        <f t="shared" si="35"/>
        <v>0</v>
      </c>
      <c r="T41" s="95">
        <v>0</v>
      </c>
      <c r="U41" s="57" t="str">
        <f t="shared" si="32"/>
        <v/>
      </c>
      <c r="V41" s="96">
        <f t="shared" si="33"/>
        <v>0</v>
      </c>
      <c r="W41" s="390"/>
      <c r="X41" s="340"/>
      <c r="Y41"/>
      <c r="AA41" s="394" t="s">
        <v>444</v>
      </c>
    </row>
    <row r="42" spans="1:27" ht="15.75" customHeight="1" outlineLevel="1">
      <c r="A42" s="325"/>
      <c r="B42" s="326" t="s">
        <v>409</v>
      </c>
      <c r="C42" s="95">
        <v>0</v>
      </c>
      <c r="D42" s="95">
        <v>0</v>
      </c>
      <c r="E42" s="57" t="str">
        <f t="shared" si="24"/>
        <v/>
      </c>
      <c r="F42" s="96">
        <f t="shared" si="25"/>
        <v>0</v>
      </c>
      <c r="G42" s="95">
        <v>0</v>
      </c>
      <c r="H42" s="95">
        <v>0</v>
      </c>
      <c r="I42" s="57" t="str">
        <f t="shared" si="26"/>
        <v/>
      </c>
      <c r="J42" s="96">
        <f t="shared" si="27"/>
        <v>0</v>
      </c>
      <c r="K42" s="95">
        <v>0</v>
      </c>
      <c r="L42" s="95">
        <f t="shared" si="34"/>
        <v>0</v>
      </c>
      <c r="M42" s="57" t="str">
        <f t="shared" si="28"/>
        <v/>
      </c>
      <c r="N42" s="96">
        <f t="shared" si="29"/>
        <v>0</v>
      </c>
      <c r="O42" s="95">
        <v>0</v>
      </c>
      <c r="P42" s="95"/>
      <c r="Q42" s="57" t="str">
        <f t="shared" si="30"/>
        <v/>
      </c>
      <c r="R42" s="96">
        <f t="shared" si="31"/>
        <v>0</v>
      </c>
      <c r="S42" s="95">
        <f t="shared" si="35"/>
        <v>0</v>
      </c>
      <c r="T42" s="95">
        <f>[1]DFC1!$G$54</f>
        <v>0</v>
      </c>
      <c r="U42" s="57" t="str">
        <f t="shared" si="32"/>
        <v/>
      </c>
      <c r="V42" s="96">
        <f t="shared" si="33"/>
        <v>0</v>
      </c>
      <c r="W42" s="390"/>
      <c r="X42" s="340"/>
      <c r="Y42" s="392"/>
      <c r="AA42" s="394" t="s">
        <v>533</v>
      </c>
    </row>
    <row r="43" spans="1:27" ht="15.75" customHeight="1" outlineLevel="1">
      <c r="A43" s="325"/>
      <c r="B43" s="343" t="s">
        <v>26</v>
      </c>
      <c r="C43" s="95">
        <v>-1003</v>
      </c>
      <c r="D43" s="95">
        <v>-1806</v>
      </c>
      <c r="E43" s="57">
        <f t="shared" si="24"/>
        <v>0.80059820538384852</v>
      </c>
      <c r="F43" s="96">
        <f t="shared" si="25"/>
        <v>-803</v>
      </c>
      <c r="G43" s="95">
        <v>-2017</v>
      </c>
      <c r="H43" s="95">
        <v>-2041</v>
      </c>
      <c r="I43" s="57">
        <f t="shared" si="26"/>
        <v>1.189885969261284E-2</v>
      </c>
      <c r="J43" s="96">
        <f t="shared" si="27"/>
        <v>-24</v>
      </c>
      <c r="K43" s="95">
        <v>-1475</v>
      </c>
      <c r="L43" s="95">
        <f t="shared" si="34"/>
        <v>-1648</v>
      </c>
      <c r="M43" s="57">
        <f t="shared" si="28"/>
        <v>0.11728813559322027</v>
      </c>
      <c r="N43" s="96">
        <f t="shared" si="29"/>
        <v>-173</v>
      </c>
      <c r="O43" s="95">
        <v>-529</v>
      </c>
      <c r="P43" s="95"/>
      <c r="Q43" s="57">
        <f t="shared" si="30"/>
        <v>-1</v>
      </c>
      <c r="R43" s="96">
        <f t="shared" si="31"/>
        <v>529</v>
      </c>
      <c r="S43" s="95">
        <f t="shared" si="35"/>
        <v>-4495</v>
      </c>
      <c r="T43" s="95">
        <f>VLOOKUP(B43,[1]DFC1!$A:$H,7,0)</f>
        <v>-5495</v>
      </c>
      <c r="U43" s="57">
        <f t="shared" si="32"/>
        <v>0.22246941045606228</v>
      </c>
      <c r="V43" s="96">
        <f t="shared" si="33"/>
        <v>-1000</v>
      </c>
      <c r="W43" s="390"/>
      <c r="X43" s="340"/>
      <c r="Y43"/>
      <c r="AA43" s="394" t="s">
        <v>26</v>
      </c>
    </row>
    <row r="44" spans="1:27" ht="15.75" customHeight="1" outlineLevel="1">
      <c r="A44" s="325"/>
      <c r="B44" s="343" t="s">
        <v>445</v>
      </c>
      <c r="C44" s="95">
        <v>2</v>
      </c>
      <c r="D44" s="95">
        <v>293</v>
      </c>
      <c r="E44" s="57">
        <f t="shared" si="24"/>
        <v>145.5</v>
      </c>
      <c r="F44" s="96">
        <f t="shared" si="25"/>
        <v>291</v>
      </c>
      <c r="G44" s="95">
        <v>277</v>
      </c>
      <c r="H44" s="95">
        <v>553</v>
      </c>
      <c r="I44" s="57">
        <f t="shared" si="26"/>
        <v>0.99638989169675085</v>
      </c>
      <c r="J44" s="96">
        <f t="shared" si="27"/>
        <v>276</v>
      </c>
      <c r="K44" s="95">
        <v>320</v>
      </c>
      <c r="L44" s="95">
        <f t="shared" si="34"/>
        <v>342</v>
      </c>
      <c r="M44" s="57">
        <f t="shared" si="28"/>
        <v>6.8750000000000089E-2</v>
      </c>
      <c r="N44" s="96">
        <f t="shared" si="29"/>
        <v>22</v>
      </c>
      <c r="O44" s="95">
        <v>70</v>
      </c>
      <c r="P44" s="95"/>
      <c r="Q44" s="57">
        <f t="shared" si="30"/>
        <v>-1</v>
      </c>
      <c r="R44" s="96">
        <f t="shared" si="31"/>
        <v>-70</v>
      </c>
      <c r="S44" s="95">
        <f t="shared" si="35"/>
        <v>599</v>
      </c>
      <c r="T44" s="95">
        <f>[1]DFC1!$G$58</f>
        <v>1188</v>
      </c>
      <c r="U44" s="57">
        <f t="shared" si="32"/>
        <v>0.98330550918197002</v>
      </c>
      <c r="V44" s="96">
        <f t="shared" si="33"/>
        <v>589</v>
      </c>
      <c r="W44" s="390"/>
      <c r="X44" s="340"/>
      <c r="Y44"/>
      <c r="AA44" s="394" t="s">
        <v>377</v>
      </c>
    </row>
    <row r="45" spans="1:27" ht="15.75" customHeight="1">
      <c r="A45" s="325"/>
      <c r="B45" s="343" t="s">
        <v>446</v>
      </c>
      <c r="C45" s="95">
        <v>-1113</v>
      </c>
      <c r="D45" s="95">
        <v>-772</v>
      </c>
      <c r="E45" s="57">
        <f t="shared" si="24"/>
        <v>-0.30637915543575922</v>
      </c>
      <c r="F45" s="96">
        <f t="shared" si="25"/>
        <v>341</v>
      </c>
      <c r="G45" s="95">
        <v>-1730</v>
      </c>
      <c r="H45" s="95">
        <v>-2255</v>
      </c>
      <c r="I45" s="57">
        <f t="shared" si="26"/>
        <v>0.30346820809248554</v>
      </c>
      <c r="J45" s="96">
        <f t="shared" si="27"/>
        <v>-525</v>
      </c>
      <c r="K45" s="95">
        <v>-1316</v>
      </c>
      <c r="L45" s="95">
        <f t="shared" si="34"/>
        <v>-1160</v>
      </c>
      <c r="M45" s="57">
        <f t="shared" si="28"/>
        <v>-0.1185410334346505</v>
      </c>
      <c r="N45" s="96">
        <f t="shared" si="29"/>
        <v>156</v>
      </c>
      <c r="O45" s="95">
        <v>-1652</v>
      </c>
      <c r="P45" s="95"/>
      <c r="Q45" s="57">
        <f t="shared" si="30"/>
        <v>-1</v>
      </c>
      <c r="R45" s="96">
        <f t="shared" si="31"/>
        <v>1652</v>
      </c>
      <c r="S45" s="95">
        <f t="shared" si="35"/>
        <v>-4159</v>
      </c>
      <c r="T45" s="95">
        <f>[1]DFC1!$G$59</f>
        <v>-4187</v>
      </c>
      <c r="U45" s="57">
        <f t="shared" si="32"/>
        <v>6.7323875931715182E-3</v>
      </c>
      <c r="V45" s="96">
        <f t="shared" si="33"/>
        <v>-28</v>
      </c>
      <c r="W45" s="390"/>
      <c r="X45" s="340"/>
      <c r="Y45"/>
      <c r="AA45" s="394" t="s">
        <v>379</v>
      </c>
    </row>
    <row r="46" spans="1:27" ht="15.75" customHeight="1" outlineLevel="1">
      <c r="A46" s="325"/>
      <c r="B46" s="326" t="s">
        <v>447</v>
      </c>
      <c r="C46" s="95"/>
      <c r="D46" s="95"/>
      <c r="E46" s="57" t="str">
        <f t="shared" si="24"/>
        <v/>
      </c>
      <c r="F46" s="96">
        <f t="shared" si="25"/>
        <v>0</v>
      </c>
      <c r="G46" s="95">
        <v>0</v>
      </c>
      <c r="H46" s="95">
        <v>0</v>
      </c>
      <c r="I46" s="57" t="str">
        <f t="shared" si="26"/>
        <v/>
      </c>
      <c r="J46" s="96">
        <f t="shared" si="27"/>
        <v>0</v>
      </c>
      <c r="K46" s="95">
        <v>0</v>
      </c>
      <c r="L46" s="95">
        <f t="shared" si="34"/>
        <v>0</v>
      </c>
      <c r="M46" s="57" t="str">
        <f t="shared" si="28"/>
        <v/>
      </c>
      <c r="N46" s="96">
        <f t="shared" si="29"/>
        <v>0</v>
      </c>
      <c r="O46" s="95">
        <v>0</v>
      </c>
      <c r="P46" s="95"/>
      <c r="Q46" s="57" t="str">
        <f t="shared" si="30"/>
        <v/>
      </c>
      <c r="R46" s="96">
        <f t="shared" si="31"/>
        <v>0</v>
      </c>
      <c r="S46" s="95">
        <f>C46+G46+K46</f>
        <v>0</v>
      </c>
      <c r="T46" s="95">
        <f t="shared" ref="T46" si="36">D46</f>
        <v>0</v>
      </c>
      <c r="U46" s="57" t="str">
        <f t="shared" si="32"/>
        <v/>
      </c>
      <c r="V46" s="96">
        <f t="shared" si="33"/>
        <v>0</v>
      </c>
      <c r="W46" s="390"/>
      <c r="X46" s="340"/>
      <c r="Y46"/>
      <c r="AA46" s="394" t="s">
        <v>534</v>
      </c>
    </row>
    <row r="47" spans="1:27" ht="15.75" customHeight="1" outlineLevel="1">
      <c r="A47" s="331" t="s">
        <v>448</v>
      </c>
      <c r="B47" s="332"/>
      <c r="C47" s="17">
        <v>-2114</v>
      </c>
      <c r="D47" s="17">
        <f>SUM(D38:D45)</f>
        <v>-2285</v>
      </c>
      <c r="E47" s="71">
        <f t="shared" si="24"/>
        <v>8.088930936613048E-2</v>
      </c>
      <c r="F47" s="97">
        <f t="shared" si="25"/>
        <v>-171</v>
      </c>
      <c r="G47" s="17">
        <v>-3470</v>
      </c>
      <c r="H47" s="17">
        <v>-3743</v>
      </c>
      <c r="I47" s="71">
        <f t="shared" si="26"/>
        <v>7.8674351585014346E-2</v>
      </c>
      <c r="J47" s="97">
        <f t="shared" si="27"/>
        <v>-273</v>
      </c>
      <c r="K47" s="17">
        <v>-2471</v>
      </c>
      <c r="L47" s="17">
        <f>SUM(L38:L45)</f>
        <v>-2466</v>
      </c>
      <c r="M47" s="71">
        <f t="shared" si="28"/>
        <v>-2.0234722784298054E-3</v>
      </c>
      <c r="N47" s="97">
        <f t="shared" si="29"/>
        <v>5</v>
      </c>
      <c r="O47" s="17">
        <v>-2111</v>
      </c>
      <c r="P47" s="17"/>
      <c r="Q47" s="71">
        <f t="shared" si="30"/>
        <v>-1</v>
      </c>
      <c r="R47" s="97">
        <f t="shared" si="31"/>
        <v>2111</v>
      </c>
      <c r="S47" s="17">
        <f>SUM(S38:S46)</f>
        <v>-8055</v>
      </c>
      <c r="T47" s="17">
        <f>SUM(T38:T46)</f>
        <v>-8494</v>
      </c>
      <c r="U47" s="71">
        <f t="shared" si="32"/>
        <v>5.4500310366232263E-2</v>
      </c>
      <c r="V47" s="97">
        <f t="shared" si="33"/>
        <v>-439</v>
      </c>
      <c r="W47" s="390"/>
      <c r="X47" s="340"/>
      <c r="Y47"/>
    </row>
    <row r="48" spans="1:27" ht="15.75" customHeight="1" outlineLevel="1">
      <c r="A48" s="325" t="s">
        <v>27</v>
      </c>
      <c r="B48" s="326"/>
      <c r="C48" s="19"/>
      <c r="D48" s="29"/>
      <c r="E48" s="57"/>
      <c r="F48" s="58"/>
      <c r="G48" s="29">
        <v>0</v>
      </c>
      <c r="H48" s="29"/>
      <c r="I48" s="57"/>
      <c r="J48" s="58"/>
      <c r="K48" s="29">
        <v>0</v>
      </c>
      <c r="L48" s="29"/>
      <c r="M48" s="57"/>
      <c r="N48" s="58"/>
      <c r="O48" s="29"/>
      <c r="P48" s="29"/>
      <c r="Q48" s="57"/>
      <c r="R48" s="58"/>
      <c r="S48" s="95"/>
      <c r="T48" s="95"/>
      <c r="U48" s="57"/>
      <c r="V48" s="58"/>
      <c r="W48" s="390"/>
      <c r="X48" s="340"/>
      <c r="Y48"/>
    </row>
    <row r="49" spans="1:27" s="101" customFormat="1" ht="15.75" customHeight="1" outlineLevel="1">
      <c r="A49" s="342"/>
      <c r="B49" s="343" t="s">
        <v>449</v>
      </c>
      <c r="C49" s="95">
        <v>-7952</v>
      </c>
      <c r="D49" s="95">
        <v>-4225</v>
      </c>
      <c r="E49" s="57">
        <f t="shared" ref="E49:E61" si="37">IFERROR(D49/C49-1,"")</f>
        <v>-0.46868712273641855</v>
      </c>
      <c r="F49" s="96">
        <f t="shared" ref="F49:F61" si="38">D49-C49</f>
        <v>3727</v>
      </c>
      <c r="G49" s="95">
        <v>-16503</v>
      </c>
      <c r="H49" s="95">
        <v>-12877</v>
      </c>
      <c r="I49" s="57">
        <f t="shared" ref="I49:I61" si="39">IFERROR(H49/G49-1,"")</f>
        <v>-0.21971762709810339</v>
      </c>
      <c r="J49" s="96">
        <f t="shared" ref="J49:J61" si="40">H49-G49</f>
        <v>3626</v>
      </c>
      <c r="K49" s="95">
        <v>-13876</v>
      </c>
      <c r="L49" s="95">
        <f>T49-D49-H49</f>
        <v>-3712</v>
      </c>
      <c r="M49" s="57">
        <f t="shared" ref="M49:M61" si="41">IFERROR(L49/K49-1,"")</f>
        <v>-0.7324877486307293</v>
      </c>
      <c r="N49" s="96">
        <f t="shared" ref="N49:N61" si="42">L49-K49</f>
        <v>10164</v>
      </c>
      <c r="O49" s="95">
        <v>-8412</v>
      </c>
      <c r="P49" s="95"/>
      <c r="Q49" s="57">
        <f t="shared" ref="Q49:Q61" si="43">IFERROR(P49/O49-1,"")</f>
        <v>-1</v>
      </c>
      <c r="R49" s="96">
        <f t="shared" ref="R49:R61" si="44">P49-O49</f>
        <v>8412</v>
      </c>
      <c r="S49" s="95">
        <f>C49+G49+K49</f>
        <v>-38331</v>
      </c>
      <c r="T49" s="95">
        <f>[1]DFC1!$G$71</f>
        <v>-20814</v>
      </c>
      <c r="U49" s="57">
        <f t="shared" ref="U49:U61" si="45">IFERROR(T49/S49-1,"")</f>
        <v>-0.45699303435861316</v>
      </c>
      <c r="V49" s="96">
        <f t="shared" ref="V49:V61" si="46">T49-S49</f>
        <v>17517</v>
      </c>
      <c r="W49" s="390"/>
      <c r="X49" s="340"/>
      <c r="Y49"/>
      <c r="AA49" s="396" t="s">
        <v>536</v>
      </c>
    </row>
    <row r="50" spans="1:27" ht="15.75" customHeight="1" outlineLevel="1">
      <c r="A50" s="325"/>
      <c r="B50" s="326" t="s">
        <v>444</v>
      </c>
      <c r="C50" s="95">
        <v>0</v>
      </c>
      <c r="D50" s="95">
        <v>0</v>
      </c>
      <c r="E50" s="57" t="str">
        <f t="shared" si="37"/>
        <v/>
      </c>
      <c r="F50" s="96">
        <f t="shared" si="38"/>
        <v>0</v>
      </c>
      <c r="G50" s="95">
        <v>0</v>
      </c>
      <c r="H50" s="95">
        <v>0</v>
      </c>
      <c r="I50" s="57" t="str">
        <f t="shared" si="39"/>
        <v/>
      </c>
      <c r="J50" s="96">
        <f t="shared" si="40"/>
        <v>0</v>
      </c>
      <c r="K50" s="95">
        <v>0</v>
      </c>
      <c r="L50" s="95">
        <f t="shared" ref="L50:L59" si="47">T50-D50-H50</f>
        <v>0</v>
      </c>
      <c r="M50" s="57" t="str">
        <f t="shared" si="41"/>
        <v/>
      </c>
      <c r="N50" s="96">
        <f t="shared" si="42"/>
        <v>0</v>
      </c>
      <c r="O50" s="95">
        <v>0</v>
      </c>
      <c r="P50" s="95"/>
      <c r="Q50" s="57" t="str">
        <f t="shared" si="43"/>
        <v/>
      </c>
      <c r="R50" s="96">
        <f t="shared" si="44"/>
        <v>0</v>
      </c>
      <c r="S50" s="95">
        <f t="shared" ref="S50:S59" si="48">C50+G50+K50</f>
        <v>0</v>
      </c>
      <c r="T50" s="95">
        <f>[1]DFC1!$G$66</f>
        <v>0</v>
      </c>
      <c r="U50" s="57" t="str">
        <f t="shared" si="45"/>
        <v/>
      </c>
      <c r="V50" s="96">
        <f t="shared" si="46"/>
        <v>0</v>
      </c>
      <c r="W50" s="390"/>
      <c r="X50" s="340"/>
      <c r="Y50"/>
      <c r="AA50" s="394" t="s">
        <v>444</v>
      </c>
    </row>
    <row r="51" spans="1:27" ht="15.75" customHeight="1" outlineLevel="1">
      <c r="A51" s="325"/>
      <c r="B51" s="326" t="s">
        <v>450</v>
      </c>
      <c r="C51" s="95">
        <v>0</v>
      </c>
      <c r="D51" s="95">
        <v>0</v>
      </c>
      <c r="E51" s="57" t="str">
        <f t="shared" si="37"/>
        <v/>
      </c>
      <c r="F51" s="96">
        <f t="shared" si="38"/>
        <v>0</v>
      </c>
      <c r="G51" s="95">
        <v>0</v>
      </c>
      <c r="H51" s="95">
        <v>0</v>
      </c>
      <c r="I51" s="57" t="str">
        <f t="shared" si="39"/>
        <v/>
      </c>
      <c r="J51" s="96">
        <f t="shared" si="40"/>
        <v>0</v>
      </c>
      <c r="K51" s="95">
        <v>0</v>
      </c>
      <c r="L51" s="95">
        <f t="shared" si="47"/>
        <v>0</v>
      </c>
      <c r="M51" s="57" t="str">
        <f t="shared" si="41"/>
        <v/>
      </c>
      <c r="N51" s="96">
        <f t="shared" si="42"/>
        <v>0</v>
      </c>
      <c r="O51" s="95">
        <v>0</v>
      </c>
      <c r="P51" s="95"/>
      <c r="Q51" s="57" t="str">
        <f t="shared" si="43"/>
        <v/>
      </c>
      <c r="R51" s="96">
        <f t="shared" si="44"/>
        <v>0</v>
      </c>
      <c r="S51" s="95">
        <f t="shared" si="48"/>
        <v>0</v>
      </c>
      <c r="T51" s="95">
        <v>0</v>
      </c>
      <c r="U51" s="57" t="str">
        <f t="shared" si="45"/>
        <v/>
      </c>
      <c r="V51" s="96">
        <f t="shared" si="46"/>
        <v>0</v>
      </c>
      <c r="W51" s="390"/>
      <c r="X51" s="340"/>
      <c r="Y51"/>
      <c r="AA51" s="394" t="s">
        <v>538</v>
      </c>
    </row>
    <row r="52" spans="1:27" ht="15.75" customHeight="1" outlineLevel="1">
      <c r="A52" s="325"/>
      <c r="B52" s="326" t="s">
        <v>28</v>
      </c>
      <c r="C52" s="95">
        <v>-10226</v>
      </c>
      <c r="D52" s="95">
        <v>-14987</v>
      </c>
      <c r="E52" s="57">
        <f t="shared" si="37"/>
        <v>0.46557793858791308</v>
      </c>
      <c r="F52" s="96">
        <f t="shared" si="38"/>
        <v>-4761</v>
      </c>
      <c r="G52" s="95">
        <v>0</v>
      </c>
      <c r="H52" s="95">
        <v>0</v>
      </c>
      <c r="I52" s="57" t="str">
        <f t="shared" si="39"/>
        <v/>
      </c>
      <c r="J52" s="96">
        <f t="shared" si="40"/>
        <v>0</v>
      </c>
      <c r="K52" s="95">
        <v>0</v>
      </c>
      <c r="L52" s="95">
        <f t="shared" si="47"/>
        <v>0</v>
      </c>
      <c r="M52" s="57" t="str">
        <f t="shared" si="41"/>
        <v/>
      </c>
      <c r="N52" s="96">
        <f t="shared" si="42"/>
        <v>0</v>
      </c>
      <c r="O52" s="95">
        <v>-2</v>
      </c>
      <c r="P52" s="95"/>
      <c r="Q52" s="57">
        <f t="shared" si="43"/>
        <v>-1</v>
      </c>
      <c r="R52" s="96">
        <f t="shared" si="44"/>
        <v>2</v>
      </c>
      <c r="S52" s="95">
        <f t="shared" si="48"/>
        <v>-10226</v>
      </c>
      <c r="T52" s="95">
        <f>[1]DFC1!$G$74</f>
        <v>-14987</v>
      </c>
      <c r="U52" s="57">
        <f t="shared" si="45"/>
        <v>0.46557793858791308</v>
      </c>
      <c r="V52" s="96">
        <f t="shared" si="46"/>
        <v>-4761</v>
      </c>
      <c r="W52" s="390"/>
      <c r="X52" s="340"/>
      <c r="Y52"/>
      <c r="AA52" s="394" t="s">
        <v>28</v>
      </c>
    </row>
    <row r="53" spans="1:27" ht="15.75" customHeight="1" outlineLevel="1">
      <c r="A53" s="325"/>
      <c r="B53" s="326" t="s">
        <v>459</v>
      </c>
      <c r="C53" s="95">
        <v>22</v>
      </c>
      <c r="D53" s="95">
        <v>-7</v>
      </c>
      <c r="E53" s="57">
        <f t="shared" si="37"/>
        <v>-1.3181818181818181</v>
      </c>
      <c r="F53" s="96">
        <f t="shared" si="38"/>
        <v>-29</v>
      </c>
      <c r="G53" s="95">
        <v>-225</v>
      </c>
      <c r="H53" s="95">
        <v>-67</v>
      </c>
      <c r="I53" s="57">
        <f t="shared" si="39"/>
        <v>-0.7022222222222223</v>
      </c>
      <c r="J53" s="96">
        <f t="shared" si="40"/>
        <v>158</v>
      </c>
      <c r="K53" s="95">
        <v>-46</v>
      </c>
      <c r="L53" s="95">
        <f t="shared" si="47"/>
        <v>243</v>
      </c>
      <c r="M53" s="57">
        <f t="shared" si="41"/>
        <v>-6.2826086956521738</v>
      </c>
      <c r="N53" s="96">
        <f t="shared" si="42"/>
        <v>289</v>
      </c>
      <c r="O53" s="95">
        <v>2</v>
      </c>
      <c r="P53" s="95"/>
      <c r="Q53" s="57">
        <f t="shared" si="43"/>
        <v>-1</v>
      </c>
      <c r="R53" s="96">
        <f t="shared" si="44"/>
        <v>-2</v>
      </c>
      <c r="S53" s="95">
        <f t="shared" si="48"/>
        <v>-249</v>
      </c>
      <c r="T53" s="95">
        <f>[1]DFC1!$G$67</f>
        <v>169</v>
      </c>
      <c r="U53" s="57">
        <f t="shared" si="45"/>
        <v>-1.678714859437751</v>
      </c>
      <c r="V53" s="96">
        <f t="shared" si="46"/>
        <v>418</v>
      </c>
      <c r="W53" s="390"/>
      <c r="X53" s="340"/>
      <c r="Y53"/>
      <c r="AA53" s="394" t="s">
        <v>459</v>
      </c>
    </row>
    <row r="54" spans="1:27" ht="15.75" customHeight="1" outlineLevel="1">
      <c r="A54" s="325"/>
      <c r="B54" s="326" t="s">
        <v>422</v>
      </c>
      <c r="C54" s="95">
        <v>0</v>
      </c>
      <c r="D54" s="95">
        <v>0</v>
      </c>
      <c r="E54" s="57" t="str">
        <f t="shared" si="37"/>
        <v/>
      </c>
      <c r="F54" s="96">
        <f t="shared" si="38"/>
        <v>0</v>
      </c>
      <c r="G54" s="95">
        <v>0</v>
      </c>
      <c r="H54" s="95">
        <v>0</v>
      </c>
      <c r="I54" s="57" t="str">
        <f t="shared" si="39"/>
        <v/>
      </c>
      <c r="J54" s="96">
        <f t="shared" si="40"/>
        <v>0</v>
      </c>
      <c r="K54" s="95">
        <v>46000</v>
      </c>
      <c r="L54" s="95">
        <f t="shared" si="47"/>
        <v>0</v>
      </c>
      <c r="M54" s="57">
        <f t="shared" si="41"/>
        <v>-1</v>
      </c>
      <c r="N54" s="96">
        <f t="shared" si="42"/>
        <v>-46000</v>
      </c>
      <c r="O54" s="95">
        <v>0</v>
      </c>
      <c r="P54" s="95"/>
      <c r="Q54" s="57" t="str">
        <f t="shared" si="43"/>
        <v/>
      </c>
      <c r="R54" s="96">
        <f t="shared" si="44"/>
        <v>0</v>
      </c>
      <c r="S54" s="95">
        <f t="shared" si="48"/>
        <v>46000</v>
      </c>
      <c r="T54" s="95">
        <v>0</v>
      </c>
      <c r="U54" s="57">
        <f t="shared" si="45"/>
        <v>-1</v>
      </c>
      <c r="V54" s="96">
        <f t="shared" si="46"/>
        <v>-46000</v>
      </c>
      <c r="W54" s="390"/>
      <c r="X54" s="340"/>
      <c r="Y54"/>
      <c r="AA54" s="394" t="s">
        <v>422</v>
      </c>
    </row>
    <row r="55" spans="1:27" ht="15.75" customHeight="1">
      <c r="A55" s="325"/>
      <c r="B55" s="326" t="s">
        <v>451</v>
      </c>
      <c r="C55" s="95">
        <v>-3884</v>
      </c>
      <c r="D55" s="95">
        <v>-4068</v>
      </c>
      <c r="E55" s="57">
        <f t="shared" si="37"/>
        <v>4.7373841400617955E-2</v>
      </c>
      <c r="F55" s="96">
        <f t="shared" si="38"/>
        <v>-184</v>
      </c>
      <c r="G55" s="95">
        <v>-3885</v>
      </c>
      <c r="H55" s="95">
        <v>-4356</v>
      </c>
      <c r="I55" s="57">
        <f t="shared" si="39"/>
        <v>0.12123552123552117</v>
      </c>
      <c r="J55" s="96">
        <f t="shared" si="40"/>
        <v>-471</v>
      </c>
      <c r="K55" s="95">
        <v>-25670</v>
      </c>
      <c r="L55" s="95">
        <f t="shared" si="47"/>
        <v>-5404</v>
      </c>
      <c r="M55" s="57">
        <f t="shared" si="41"/>
        <v>-0.78948188546941955</v>
      </c>
      <c r="N55" s="96">
        <f t="shared" si="42"/>
        <v>20266</v>
      </c>
      <c r="O55" s="95">
        <v>-2976</v>
      </c>
      <c r="P55" s="95"/>
      <c r="Q55" s="57">
        <f t="shared" si="43"/>
        <v>-1</v>
      </c>
      <c r="R55" s="96">
        <f t="shared" si="44"/>
        <v>2976</v>
      </c>
      <c r="S55" s="95">
        <f t="shared" si="48"/>
        <v>-33439</v>
      </c>
      <c r="T55" s="95">
        <f>[1]DFC1!$G$70</f>
        <v>-13828</v>
      </c>
      <c r="U55" s="57">
        <f t="shared" si="45"/>
        <v>-0.58647088728729924</v>
      </c>
      <c r="V55" s="96">
        <f t="shared" si="46"/>
        <v>19611</v>
      </c>
      <c r="W55" s="390"/>
      <c r="X55" s="340"/>
      <c r="Y55"/>
      <c r="AA55" s="394" t="s">
        <v>537</v>
      </c>
    </row>
    <row r="56" spans="1:27" ht="15.75" customHeight="1">
      <c r="A56" s="325"/>
      <c r="B56" s="326" t="s">
        <v>460</v>
      </c>
      <c r="C56" s="24">
        <v>0</v>
      </c>
      <c r="D56" s="95">
        <v>0</v>
      </c>
      <c r="E56" s="57" t="str">
        <f t="shared" si="37"/>
        <v/>
      </c>
      <c r="F56" s="96">
        <f t="shared" si="38"/>
        <v>0</v>
      </c>
      <c r="G56" s="95">
        <v>0</v>
      </c>
      <c r="H56" s="95">
        <v>0</v>
      </c>
      <c r="I56" s="57" t="str">
        <f t="shared" si="39"/>
        <v/>
      </c>
      <c r="J56" s="96">
        <f t="shared" si="40"/>
        <v>0</v>
      </c>
      <c r="K56" s="95">
        <v>0</v>
      </c>
      <c r="L56" s="95">
        <f t="shared" si="47"/>
        <v>0</v>
      </c>
      <c r="M56" s="57" t="str">
        <f t="shared" si="41"/>
        <v/>
      </c>
      <c r="N56" s="96">
        <f t="shared" si="42"/>
        <v>0</v>
      </c>
      <c r="O56" s="95">
        <v>0</v>
      </c>
      <c r="P56" s="95"/>
      <c r="Q56" s="57" t="str">
        <f t="shared" si="43"/>
        <v/>
      </c>
      <c r="R56" s="96">
        <f t="shared" si="44"/>
        <v>0</v>
      </c>
      <c r="S56" s="95">
        <f t="shared" si="48"/>
        <v>0</v>
      </c>
      <c r="T56" s="95">
        <v>0</v>
      </c>
      <c r="U56" s="57" t="str">
        <f t="shared" si="45"/>
        <v/>
      </c>
      <c r="V56" s="96">
        <f t="shared" si="46"/>
        <v>0</v>
      </c>
      <c r="W56" s="390"/>
      <c r="X56" s="340"/>
      <c r="Y56"/>
      <c r="AA56" s="394" t="s">
        <v>460</v>
      </c>
    </row>
    <row r="57" spans="1:27" ht="15.75" customHeight="1">
      <c r="A57" s="325"/>
      <c r="B57" s="326" t="s">
        <v>461</v>
      </c>
      <c r="C57" s="24">
        <v>-349</v>
      </c>
      <c r="D57" s="95">
        <v>-344</v>
      </c>
      <c r="E57" s="57">
        <f t="shared" si="37"/>
        <v>-1.4326647564469885E-2</v>
      </c>
      <c r="F57" s="96">
        <f t="shared" si="38"/>
        <v>5</v>
      </c>
      <c r="G57" s="95">
        <v>-334</v>
      </c>
      <c r="H57" s="95">
        <v>-374</v>
      </c>
      <c r="I57" s="57">
        <f t="shared" si="39"/>
        <v>0.11976047904191622</v>
      </c>
      <c r="J57" s="96">
        <f t="shared" si="40"/>
        <v>-40</v>
      </c>
      <c r="K57" s="95">
        <v>-358</v>
      </c>
      <c r="L57" s="95">
        <f t="shared" si="47"/>
        <v>-338</v>
      </c>
      <c r="M57" s="57">
        <f t="shared" si="41"/>
        <v>-5.5865921787709549E-2</v>
      </c>
      <c r="N57" s="96">
        <f t="shared" si="42"/>
        <v>20</v>
      </c>
      <c r="O57" s="95">
        <v>-346</v>
      </c>
      <c r="P57" s="95"/>
      <c r="Q57" s="57">
        <f t="shared" si="43"/>
        <v>-1</v>
      </c>
      <c r="R57" s="96">
        <f t="shared" si="44"/>
        <v>346</v>
      </c>
      <c r="S57" s="95">
        <f t="shared" si="48"/>
        <v>-1041</v>
      </c>
      <c r="T57" s="95">
        <f>[1]DFC1!$G$73</f>
        <v>-1056</v>
      </c>
      <c r="U57" s="57">
        <f t="shared" si="45"/>
        <v>1.4409221902017322E-2</v>
      </c>
      <c r="V57" s="96">
        <f t="shared" si="46"/>
        <v>-15</v>
      </c>
      <c r="W57" s="390"/>
      <c r="X57" s="340"/>
      <c r="Y57"/>
      <c r="AA57" s="394" t="s">
        <v>461</v>
      </c>
    </row>
    <row r="58" spans="1:27" ht="15.75" customHeight="1">
      <c r="A58" s="325"/>
      <c r="B58" s="326" t="s">
        <v>452</v>
      </c>
      <c r="C58" s="95"/>
      <c r="D58" s="95"/>
      <c r="E58" s="57" t="str">
        <f t="shared" si="37"/>
        <v/>
      </c>
      <c r="F58" s="58">
        <f t="shared" si="38"/>
        <v>0</v>
      </c>
      <c r="G58" s="95">
        <v>0</v>
      </c>
      <c r="H58" s="95">
        <v>0</v>
      </c>
      <c r="I58" s="57" t="str">
        <f t="shared" si="39"/>
        <v/>
      </c>
      <c r="J58" s="58">
        <f t="shared" si="40"/>
        <v>0</v>
      </c>
      <c r="K58" s="95">
        <v>0</v>
      </c>
      <c r="L58" s="95">
        <f t="shared" si="47"/>
        <v>0</v>
      </c>
      <c r="M58" s="57" t="str">
        <f t="shared" si="41"/>
        <v/>
      </c>
      <c r="N58" s="58">
        <f t="shared" si="42"/>
        <v>0</v>
      </c>
      <c r="O58" s="95">
        <v>0</v>
      </c>
      <c r="P58" s="95"/>
      <c r="Q58" s="57" t="str">
        <f t="shared" si="43"/>
        <v/>
      </c>
      <c r="R58" s="58">
        <f t="shared" si="44"/>
        <v>0</v>
      </c>
      <c r="S58" s="95">
        <f t="shared" si="48"/>
        <v>0</v>
      </c>
      <c r="T58" s="95"/>
      <c r="U58" s="57" t="str">
        <f t="shared" si="45"/>
        <v/>
      </c>
      <c r="V58" s="58">
        <f t="shared" si="46"/>
        <v>0</v>
      </c>
      <c r="W58" s="390"/>
      <c r="X58" s="340"/>
      <c r="Y58"/>
      <c r="AA58" s="394" t="s">
        <v>538</v>
      </c>
    </row>
    <row r="59" spans="1:27" ht="15.75" customHeight="1">
      <c r="A59" s="325"/>
      <c r="B59" s="326" t="s">
        <v>497</v>
      </c>
      <c r="C59" s="95">
        <v>2016</v>
      </c>
      <c r="D59" s="95">
        <v>0</v>
      </c>
      <c r="E59" s="57">
        <f t="shared" si="37"/>
        <v>-1</v>
      </c>
      <c r="F59" s="58">
        <f t="shared" si="38"/>
        <v>-2016</v>
      </c>
      <c r="G59" s="95">
        <v>1185</v>
      </c>
      <c r="H59" s="95">
        <v>1184</v>
      </c>
      <c r="I59" s="57">
        <f t="shared" si="39"/>
        <v>-8.4388185654005188E-4</v>
      </c>
      <c r="J59" s="58">
        <f t="shared" si="40"/>
        <v>-1</v>
      </c>
      <c r="K59" s="95">
        <v>2515</v>
      </c>
      <c r="L59" s="95">
        <f t="shared" si="47"/>
        <v>2625</v>
      </c>
      <c r="M59" s="57">
        <f t="shared" si="41"/>
        <v>4.3737574552683789E-2</v>
      </c>
      <c r="N59" s="58">
        <f t="shared" si="42"/>
        <v>110</v>
      </c>
      <c r="O59" s="95">
        <v>0</v>
      </c>
      <c r="P59" s="95"/>
      <c r="Q59" s="57" t="str">
        <f t="shared" si="43"/>
        <v/>
      </c>
      <c r="R59" s="58">
        <f t="shared" si="44"/>
        <v>0</v>
      </c>
      <c r="S59" s="95">
        <f t="shared" si="48"/>
        <v>5716</v>
      </c>
      <c r="T59" s="95">
        <f>[1]DFC1!$G$75</f>
        <v>3809</v>
      </c>
      <c r="U59" s="57">
        <f t="shared" si="45"/>
        <v>-0.33362491252624216</v>
      </c>
      <c r="V59" s="58">
        <f t="shared" si="46"/>
        <v>-1907</v>
      </c>
      <c r="W59" s="390"/>
      <c r="X59" s="340"/>
      <c r="Y59"/>
      <c r="AA59" s="394" t="s">
        <v>497</v>
      </c>
    </row>
    <row r="60" spans="1:27" ht="15.75" customHeight="1">
      <c r="A60" s="331" t="s">
        <v>453</v>
      </c>
      <c r="B60" s="332"/>
      <c r="C60" s="17">
        <v>-20373</v>
      </c>
      <c r="D60" s="17">
        <f>SUM(D49:D59)</f>
        <v>-23631</v>
      </c>
      <c r="E60" s="71">
        <f t="shared" si="37"/>
        <v>0.15991753791783236</v>
      </c>
      <c r="F60" s="72">
        <f t="shared" si="38"/>
        <v>-3258</v>
      </c>
      <c r="G60" s="17">
        <v>-19762</v>
      </c>
      <c r="H60" s="17">
        <v>-16490</v>
      </c>
      <c r="I60" s="71">
        <f t="shared" si="39"/>
        <v>-0.16557028640825833</v>
      </c>
      <c r="J60" s="72">
        <f t="shared" si="40"/>
        <v>3272</v>
      </c>
      <c r="K60" s="17">
        <v>8565</v>
      </c>
      <c r="L60" s="17">
        <f>SUM(L49:L59)</f>
        <v>-6586</v>
      </c>
      <c r="M60" s="71">
        <f t="shared" si="41"/>
        <v>-1.7689433741973146</v>
      </c>
      <c r="N60" s="72">
        <f t="shared" si="42"/>
        <v>-15151</v>
      </c>
      <c r="O60" s="17">
        <v>-11734</v>
      </c>
      <c r="P60" s="17"/>
      <c r="Q60" s="71">
        <f t="shared" si="43"/>
        <v>-1</v>
      </c>
      <c r="R60" s="72">
        <f t="shared" si="44"/>
        <v>11734</v>
      </c>
      <c r="S60" s="17">
        <f>SUM(S49:S59)</f>
        <v>-31570</v>
      </c>
      <c r="T60" s="17">
        <f>SUM(T49:T59)</f>
        <v>-46707</v>
      </c>
      <c r="U60" s="71">
        <f t="shared" si="45"/>
        <v>0.47947418435223321</v>
      </c>
      <c r="V60" s="72">
        <f t="shared" si="46"/>
        <v>-15137</v>
      </c>
      <c r="W60" s="390"/>
      <c r="X60" s="340"/>
      <c r="Y60"/>
    </row>
    <row r="61" spans="1:27" ht="15.75" customHeight="1" thickBot="1">
      <c r="A61" s="333"/>
      <c r="B61" s="334" t="s">
        <v>29</v>
      </c>
      <c r="C61" s="20">
        <v>-12824</v>
      </c>
      <c r="D61" s="20">
        <f>SUM(D60,D47,D36)</f>
        <v>-31275</v>
      </c>
      <c r="E61" s="73">
        <f t="shared" si="37"/>
        <v>1.4387866500311914</v>
      </c>
      <c r="F61" s="74">
        <f t="shared" si="38"/>
        <v>-18451</v>
      </c>
      <c r="G61" s="20">
        <v>-18389</v>
      </c>
      <c r="H61" s="20">
        <v>-22500</v>
      </c>
      <c r="I61" s="73">
        <f t="shared" si="39"/>
        <v>0.22355756158573059</v>
      </c>
      <c r="J61" s="74">
        <f t="shared" si="40"/>
        <v>-4111</v>
      </c>
      <c r="K61" s="20">
        <v>30187</v>
      </c>
      <c r="L61" s="20">
        <f>SUM(L60,L47,L36)</f>
        <v>3800</v>
      </c>
      <c r="M61" s="73">
        <f t="shared" si="41"/>
        <v>-0.87411799781362842</v>
      </c>
      <c r="N61" s="74">
        <f t="shared" si="42"/>
        <v>-26387</v>
      </c>
      <c r="O61" s="20">
        <v>-4213</v>
      </c>
      <c r="P61" s="20"/>
      <c r="Q61" s="73">
        <f t="shared" si="43"/>
        <v>-1</v>
      </c>
      <c r="R61" s="74">
        <f t="shared" si="44"/>
        <v>4213</v>
      </c>
      <c r="S61" s="20">
        <f>S60+S47+S36</f>
        <v>-1026</v>
      </c>
      <c r="T61" s="20">
        <f>T60+T47+T36</f>
        <v>-49975</v>
      </c>
      <c r="U61" s="73">
        <f t="shared" si="45"/>
        <v>47.708576998050681</v>
      </c>
      <c r="V61" s="74">
        <f t="shared" si="46"/>
        <v>-48949</v>
      </c>
      <c r="W61" s="390"/>
      <c r="X61" s="340"/>
      <c r="Y61"/>
    </row>
    <row r="62" spans="1:27" ht="15.75" customHeight="1">
      <c r="A62" s="325"/>
      <c r="B62" s="326"/>
      <c r="C62" s="16"/>
      <c r="D62" s="16"/>
      <c r="E62" s="57"/>
      <c r="F62" s="58"/>
      <c r="G62" s="25"/>
      <c r="H62" s="16"/>
      <c r="I62" s="57"/>
      <c r="J62" s="58"/>
      <c r="K62" s="25"/>
      <c r="L62" s="16"/>
      <c r="M62" s="57"/>
      <c r="N62" s="58"/>
      <c r="O62" s="25"/>
      <c r="P62" s="16"/>
      <c r="Q62" s="57"/>
      <c r="R62" s="58"/>
      <c r="S62" s="25"/>
      <c r="T62" s="25"/>
      <c r="U62" s="57"/>
      <c r="V62" s="58"/>
      <c r="W62" s="390"/>
      <c r="X62" s="340"/>
      <c r="Y62"/>
    </row>
    <row r="63" spans="1:27" ht="15.75" customHeight="1">
      <c r="A63" s="325"/>
      <c r="B63" s="3" t="s">
        <v>454</v>
      </c>
      <c r="C63" s="28">
        <v>125152</v>
      </c>
      <c r="D63" s="303">
        <v>119913</v>
      </c>
      <c r="E63" s="75">
        <f>IFERROR(D63/C63-1,"")</f>
        <v>-4.1861096906162132E-2</v>
      </c>
      <c r="F63" s="96">
        <f>D63-C63</f>
        <v>-5239</v>
      </c>
      <c r="G63" s="95">
        <f>C65</f>
        <v>112328</v>
      </c>
      <c r="H63" s="303">
        <v>88638</v>
      </c>
      <c r="I63" s="75">
        <f>IFERROR(H63/G63-1,"")</f>
        <v>-0.21090022078199555</v>
      </c>
      <c r="J63" s="96">
        <f>H63-G63</f>
        <v>-23690</v>
      </c>
      <c r="K63" s="95">
        <v>93939</v>
      </c>
      <c r="L63" s="303">
        <f>H65</f>
        <v>66138</v>
      </c>
      <c r="M63" s="75">
        <f>IFERROR(L63/K63-1,"")</f>
        <v>-0.29594737010187466</v>
      </c>
      <c r="N63" s="96">
        <f>L63-K63</f>
        <v>-27801</v>
      </c>
      <c r="O63" s="95">
        <v>124126</v>
      </c>
      <c r="P63" s="303"/>
      <c r="Q63" s="75">
        <f>IFERROR(P63/O63-1,"")</f>
        <v>-1</v>
      </c>
      <c r="R63" s="96">
        <f>P63-O63</f>
        <v>-124126</v>
      </c>
      <c r="S63" s="100">
        <f>C63</f>
        <v>125152</v>
      </c>
      <c r="T63" s="95">
        <f>D63</f>
        <v>119913</v>
      </c>
      <c r="U63" s="75">
        <f>IFERROR(T63/S63-1,"")</f>
        <v>-4.1861096906162132E-2</v>
      </c>
      <c r="V63" s="96">
        <f>T63-S63</f>
        <v>-5239</v>
      </c>
      <c r="W63" s="390"/>
      <c r="X63" s="340"/>
      <c r="Y63"/>
      <c r="AA63" s="394" t="s">
        <v>391</v>
      </c>
    </row>
    <row r="64" spans="1:27" ht="15.75" customHeight="1">
      <c r="A64" s="325"/>
      <c r="B64" s="326"/>
      <c r="C64" s="16"/>
      <c r="D64" s="16"/>
      <c r="E64" s="57"/>
      <c r="F64" s="58"/>
      <c r="G64" s="24"/>
      <c r="H64" s="16"/>
      <c r="I64" s="57"/>
      <c r="J64" s="58"/>
      <c r="K64" s="24"/>
      <c r="L64" s="16"/>
      <c r="M64" s="57"/>
      <c r="N64" s="58"/>
      <c r="O64" s="24"/>
      <c r="P64" s="16"/>
      <c r="Q64" s="57"/>
      <c r="R64" s="58"/>
      <c r="S64" s="24"/>
      <c r="T64" s="24"/>
      <c r="U64" s="57"/>
      <c r="V64" s="58"/>
      <c r="W64" s="390"/>
      <c r="X64" s="340"/>
    </row>
    <row r="65" spans="1:24" ht="15.75" customHeight="1" thickBot="1">
      <c r="A65" s="329"/>
      <c r="B65" s="330" t="s">
        <v>455</v>
      </c>
      <c r="C65" s="21">
        <v>112328</v>
      </c>
      <c r="D65" s="21">
        <f>SUM(D61,D63)</f>
        <v>88638</v>
      </c>
      <c r="E65" s="76">
        <f>IFERROR(D65/C65-1,"")</f>
        <v>-0.21090022078199555</v>
      </c>
      <c r="F65" s="98">
        <f>D65-C65</f>
        <v>-23690</v>
      </c>
      <c r="G65" s="21">
        <v>93939</v>
      </c>
      <c r="H65" s="21">
        <v>66138</v>
      </c>
      <c r="I65" s="76">
        <f>IFERROR(H65/G65-1,"")</f>
        <v>-0.29594737010187466</v>
      </c>
      <c r="J65" s="98">
        <f>H65-G65</f>
        <v>-27801</v>
      </c>
      <c r="K65" s="21">
        <v>124126</v>
      </c>
      <c r="L65" s="21">
        <f>SUM(L61,L63)</f>
        <v>69938</v>
      </c>
      <c r="M65" s="76">
        <f>IFERROR(L65/K65-1,"")</f>
        <v>-0.43655640236533844</v>
      </c>
      <c r="N65" s="98">
        <f>L65-K65</f>
        <v>-54188</v>
      </c>
      <c r="O65" s="21">
        <v>119913</v>
      </c>
      <c r="P65" s="21"/>
      <c r="Q65" s="76">
        <f>IFERROR(P65/O65-1,"")</f>
        <v>-1</v>
      </c>
      <c r="R65" s="98">
        <f>P65-O65</f>
        <v>-119913</v>
      </c>
      <c r="S65" s="21">
        <f>SUM(S61:S64)</f>
        <v>124126</v>
      </c>
      <c r="T65" s="21">
        <f>SUM(T61:T64)</f>
        <v>69938</v>
      </c>
      <c r="U65" s="76">
        <f>IFERROR(T65/S65-1,"")</f>
        <v>-0.43655640236533844</v>
      </c>
      <c r="V65" s="98">
        <f>T65-S65</f>
        <v>-54188</v>
      </c>
      <c r="W65" s="390"/>
      <c r="X65" s="340"/>
    </row>
    <row r="66" spans="1:24" ht="15.75" customHeight="1">
      <c r="C66" s="89"/>
      <c r="D66" s="89"/>
      <c r="S66" s="38"/>
    </row>
    <row r="67" spans="1:24" ht="15.75" hidden="1" customHeight="1"/>
    <row r="68" spans="1:24" ht="12" hidden="1">
      <c r="A68" s="36" t="s">
        <v>56</v>
      </c>
      <c r="B68" s="36"/>
      <c r="C68" s="36"/>
      <c r="D68" s="36"/>
      <c r="E68" s="101"/>
      <c r="F68" s="101"/>
      <c r="G68" s="36"/>
      <c r="H68" s="36"/>
      <c r="I68" s="277" t="str">
        <f>G2</f>
        <v>2T24</v>
      </c>
      <c r="J68" s="278" t="str">
        <f>H2</f>
        <v>2T25</v>
      </c>
      <c r="K68" s="36"/>
      <c r="L68" s="36"/>
      <c r="M68" s="277"/>
      <c r="N68" s="278"/>
      <c r="O68" s="36"/>
      <c r="P68" s="36"/>
      <c r="Q68" s="277"/>
      <c r="R68" s="278"/>
      <c r="S68" s="36"/>
      <c r="T68" s="36"/>
      <c r="U68" s="277">
        <f>S2</f>
        <v>2024</v>
      </c>
      <c r="V68" s="278">
        <f>T2</f>
        <v>2025</v>
      </c>
    </row>
    <row r="69" spans="1:24" ht="12" hidden="1">
      <c r="A69" s="36" t="s">
        <v>57</v>
      </c>
      <c r="B69" s="36"/>
      <c r="C69" s="37">
        <v>-5697</v>
      </c>
      <c r="D69" s="37">
        <v>5777</v>
      </c>
      <c r="E69" s="270">
        <f>C69/1000</f>
        <v>-5.6970000000000001</v>
      </c>
      <c r="F69" s="270">
        <f>D69/1000</f>
        <v>5.7770000000000001</v>
      </c>
      <c r="G69" s="37"/>
      <c r="H69" s="37"/>
      <c r="I69" s="273">
        <f>G69/10^3</f>
        <v>0</v>
      </c>
      <c r="J69" s="274">
        <f>H69/10^3</f>
        <v>0</v>
      </c>
      <c r="K69" s="37"/>
      <c r="L69" s="37"/>
      <c r="M69" s="273"/>
      <c r="N69" s="274"/>
      <c r="O69" s="37"/>
      <c r="P69" s="37"/>
      <c r="Q69" s="273"/>
      <c r="R69" s="274"/>
      <c r="S69" s="37">
        <v>-5697</v>
      </c>
      <c r="T69" s="37">
        <f>T4</f>
        <v>45950</v>
      </c>
      <c r="U69" s="273">
        <f>S69/10^3</f>
        <v>-5.6970000000000001</v>
      </c>
      <c r="V69" s="274">
        <f>T69/10^3</f>
        <v>45.95</v>
      </c>
    </row>
    <row r="70" spans="1:24" ht="12" hidden="1">
      <c r="A70" s="36" t="s">
        <v>58</v>
      </c>
      <c r="B70" s="36"/>
      <c r="C70" s="37">
        <v>20270</v>
      </c>
      <c r="D70" s="37">
        <v>9491</v>
      </c>
      <c r="E70" s="270">
        <f t="shared" ref="E70:E76" si="49">C70/1000</f>
        <v>20.27</v>
      </c>
      <c r="F70" s="270">
        <f t="shared" ref="F70:F76" si="50">D70/1000</f>
        <v>9.4909999999999997</v>
      </c>
      <c r="G70" s="37"/>
      <c r="H70" s="37"/>
      <c r="I70" s="273">
        <f t="shared" ref="I70:I76" si="51">G70/10^3</f>
        <v>0</v>
      </c>
      <c r="J70" s="274">
        <f t="shared" ref="J70:J76" si="52">H70/10^3</f>
        <v>0</v>
      </c>
      <c r="K70" s="37"/>
      <c r="L70" s="37"/>
      <c r="M70" s="273"/>
      <c r="N70" s="274"/>
      <c r="O70" s="37"/>
      <c r="P70" s="37"/>
      <c r="Q70" s="273"/>
      <c r="R70" s="274"/>
      <c r="S70" s="37">
        <v>20270</v>
      </c>
      <c r="T70" s="37">
        <f>SUM(T6:T22)</f>
        <v>38177</v>
      </c>
      <c r="U70" s="273">
        <f t="shared" ref="U70:U76" si="53">S70/10^3</f>
        <v>20.27</v>
      </c>
      <c r="V70" s="274">
        <f t="shared" ref="V70:V76" si="54">T70/10^3</f>
        <v>38.177</v>
      </c>
    </row>
    <row r="71" spans="1:24" ht="12" hidden="1">
      <c r="A71" s="36" t="s">
        <v>59</v>
      </c>
      <c r="B71" s="36"/>
      <c r="C71" s="37">
        <v>-12276</v>
      </c>
      <c r="D71" s="37">
        <v>6215</v>
      </c>
      <c r="E71" s="270">
        <f t="shared" si="49"/>
        <v>-12.276</v>
      </c>
      <c r="F71" s="270">
        <f t="shared" si="50"/>
        <v>6.2149999999999999</v>
      </c>
      <c r="G71" s="37"/>
      <c r="H71" s="37"/>
      <c r="I71" s="273">
        <f t="shared" si="51"/>
        <v>0</v>
      </c>
      <c r="J71" s="274">
        <f t="shared" si="52"/>
        <v>0</v>
      </c>
      <c r="K71" s="37"/>
      <c r="L71" s="37"/>
      <c r="M71" s="273"/>
      <c r="N71" s="274"/>
      <c r="O71" s="37"/>
      <c r="P71" s="37"/>
      <c r="Q71" s="273"/>
      <c r="R71" s="274"/>
      <c r="S71" s="37">
        <v>-12276</v>
      </c>
      <c r="T71" s="37">
        <f>SUM(T25:T35)</f>
        <v>-78901</v>
      </c>
      <c r="U71" s="273">
        <f t="shared" si="53"/>
        <v>-12.276</v>
      </c>
      <c r="V71" s="274">
        <f t="shared" si="54"/>
        <v>-78.900999999999996</v>
      </c>
    </row>
    <row r="72" spans="1:24" ht="12" hidden="1">
      <c r="A72" s="36" t="s">
        <v>60</v>
      </c>
      <c r="B72" s="36"/>
      <c r="C72" s="37">
        <v>-976</v>
      </c>
      <c r="D72" s="37">
        <v>-2714</v>
      </c>
      <c r="E72" s="270">
        <f t="shared" si="49"/>
        <v>-0.97599999999999998</v>
      </c>
      <c r="F72" s="270">
        <f t="shared" si="50"/>
        <v>-2.714</v>
      </c>
      <c r="G72" s="37"/>
      <c r="H72" s="37"/>
      <c r="I72" s="273">
        <f t="shared" si="51"/>
        <v>0</v>
      </c>
      <c r="J72" s="274">
        <f t="shared" si="52"/>
        <v>0</v>
      </c>
      <c r="K72" s="37"/>
      <c r="L72" s="37"/>
      <c r="M72" s="273"/>
      <c r="N72" s="274"/>
      <c r="O72" s="37"/>
      <c r="P72" s="37"/>
      <c r="Q72" s="273"/>
      <c r="R72" s="274"/>
      <c r="S72" s="37">
        <v>-976</v>
      </c>
      <c r="T72" s="37">
        <f>T47</f>
        <v>-8494</v>
      </c>
      <c r="U72" s="273">
        <f t="shared" si="53"/>
        <v>-0.97599999999999998</v>
      </c>
      <c r="V72" s="274">
        <f t="shared" si="54"/>
        <v>-8.4939999999999998</v>
      </c>
    </row>
    <row r="73" spans="1:24" ht="12" hidden="1">
      <c r="A73" s="36" t="s">
        <v>61</v>
      </c>
      <c r="B73" s="36"/>
      <c r="C73" s="37">
        <v>-10875</v>
      </c>
      <c r="D73" s="37">
        <v>-22089</v>
      </c>
      <c r="E73" s="270">
        <f t="shared" si="49"/>
        <v>-10.875</v>
      </c>
      <c r="F73" s="270">
        <f t="shared" si="50"/>
        <v>-22.088999999999999</v>
      </c>
      <c r="G73" s="37"/>
      <c r="H73" s="37"/>
      <c r="I73" s="273">
        <f t="shared" si="51"/>
        <v>0</v>
      </c>
      <c r="J73" s="274">
        <f t="shared" si="52"/>
        <v>0</v>
      </c>
      <c r="K73" s="37"/>
      <c r="L73" s="37"/>
      <c r="M73" s="273"/>
      <c r="N73" s="274"/>
      <c r="O73" s="37"/>
      <c r="P73" s="37"/>
      <c r="Q73" s="273"/>
      <c r="R73" s="274"/>
      <c r="S73" s="37">
        <v>-10875</v>
      </c>
      <c r="T73" s="37">
        <f>SUM(T48:T58)</f>
        <v>-50516</v>
      </c>
      <c r="U73" s="273">
        <f t="shared" si="53"/>
        <v>-10.875</v>
      </c>
      <c r="V73" s="274">
        <f t="shared" si="54"/>
        <v>-50.515999999999998</v>
      </c>
    </row>
    <row r="74" spans="1:24" ht="12" hidden="1">
      <c r="A74" s="36" t="s">
        <v>62</v>
      </c>
      <c r="B74" s="36"/>
      <c r="C74" s="37">
        <v>-9554</v>
      </c>
      <c r="D74" s="37">
        <v>-3320</v>
      </c>
      <c r="E74" s="270">
        <f t="shared" si="49"/>
        <v>-9.5540000000000003</v>
      </c>
      <c r="F74" s="270">
        <f t="shared" si="50"/>
        <v>-3.32</v>
      </c>
      <c r="G74" s="37"/>
      <c r="H74" s="37"/>
      <c r="I74" s="273">
        <f t="shared" si="51"/>
        <v>0</v>
      </c>
      <c r="J74" s="274">
        <f t="shared" si="52"/>
        <v>0</v>
      </c>
      <c r="K74" s="37"/>
      <c r="L74" s="37"/>
      <c r="M74" s="273"/>
      <c r="N74" s="274"/>
      <c r="O74" s="37"/>
      <c r="P74" s="37"/>
      <c r="Q74" s="273"/>
      <c r="R74" s="274"/>
      <c r="S74" s="37">
        <v>-9554</v>
      </c>
      <c r="T74" s="37">
        <f>SUM(T69:T73)</f>
        <v>-53784</v>
      </c>
      <c r="U74" s="273">
        <f t="shared" si="53"/>
        <v>-9.5540000000000003</v>
      </c>
      <c r="V74" s="274">
        <f t="shared" si="54"/>
        <v>-53.783999999999999</v>
      </c>
    </row>
    <row r="75" spans="1:24" ht="12" hidden="1">
      <c r="A75" s="36" t="s">
        <v>63</v>
      </c>
      <c r="B75" s="36"/>
      <c r="C75" s="37">
        <v>89633</v>
      </c>
      <c r="D75" s="37">
        <v>98325</v>
      </c>
      <c r="E75" s="270">
        <f t="shared" si="49"/>
        <v>89.632999999999996</v>
      </c>
      <c r="F75" s="270">
        <f t="shared" si="50"/>
        <v>98.325000000000003</v>
      </c>
      <c r="G75" s="37"/>
      <c r="H75" s="37"/>
      <c r="I75" s="273">
        <f t="shared" si="51"/>
        <v>0</v>
      </c>
      <c r="J75" s="274">
        <f t="shared" si="52"/>
        <v>0</v>
      </c>
      <c r="K75" s="37"/>
      <c r="L75" s="37"/>
      <c r="M75" s="273"/>
      <c r="N75" s="274"/>
      <c r="O75" s="37"/>
      <c r="P75" s="37"/>
      <c r="Q75" s="273"/>
      <c r="R75" s="274"/>
      <c r="S75" s="37">
        <v>89633</v>
      </c>
      <c r="T75" s="37">
        <f>T63</f>
        <v>119913</v>
      </c>
      <c r="U75" s="273">
        <f t="shared" si="53"/>
        <v>89.632999999999996</v>
      </c>
      <c r="V75" s="274">
        <f t="shared" si="54"/>
        <v>119.913</v>
      </c>
    </row>
    <row r="76" spans="1:24" ht="12" hidden="1">
      <c r="A76" s="36" t="s">
        <v>64</v>
      </c>
      <c r="B76" s="36"/>
      <c r="C76" s="37">
        <v>80079</v>
      </c>
      <c r="D76" s="37">
        <v>95005</v>
      </c>
      <c r="E76" s="270">
        <f t="shared" si="49"/>
        <v>80.078999999999994</v>
      </c>
      <c r="F76" s="270">
        <f t="shared" si="50"/>
        <v>95.004999999999995</v>
      </c>
      <c r="G76" s="37"/>
      <c r="H76" s="37"/>
      <c r="I76" s="275">
        <f t="shared" si="51"/>
        <v>0</v>
      </c>
      <c r="J76" s="276">
        <f t="shared" si="52"/>
        <v>0</v>
      </c>
      <c r="K76" s="37"/>
      <c r="L76" s="37"/>
      <c r="M76" s="275"/>
      <c r="N76" s="276"/>
      <c r="O76" s="37"/>
      <c r="P76" s="37"/>
      <c r="Q76" s="275"/>
      <c r="R76" s="276"/>
      <c r="S76" s="37">
        <v>80079</v>
      </c>
      <c r="T76" s="37">
        <f>T74+T75</f>
        <v>66129</v>
      </c>
      <c r="U76" s="275">
        <f t="shared" si="53"/>
        <v>80.078999999999994</v>
      </c>
      <c r="V76" s="276">
        <f t="shared" si="54"/>
        <v>66.129000000000005</v>
      </c>
    </row>
    <row r="77" spans="1:24" ht="12" hidden="1">
      <c r="A77" s="11"/>
      <c r="B77" s="11"/>
      <c r="C77" s="88"/>
      <c r="D77" s="11"/>
      <c r="E77" s="11"/>
      <c r="F77" s="11"/>
      <c r="H77" s="11"/>
      <c r="I77" s="11"/>
      <c r="J77" s="11"/>
      <c r="L77" s="11"/>
      <c r="M77" s="11"/>
      <c r="N77" s="11"/>
      <c r="P77" s="11"/>
      <c r="Q77" s="11"/>
      <c r="R77" s="11"/>
      <c r="S77" s="88"/>
      <c r="T77" s="11"/>
      <c r="U77" s="78"/>
      <c r="V77" s="78"/>
    </row>
    <row r="78" spans="1:24" ht="12" hidden="1">
      <c r="A78" s="11"/>
      <c r="B78" s="11"/>
      <c r="C78" s="11"/>
      <c r="D78" s="11"/>
      <c r="E78" s="11"/>
      <c r="F78" s="11"/>
      <c r="H78" s="11"/>
      <c r="I78" s="11"/>
      <c r="J78" s="11"/>
      <c r="L78" s="11"/>
      <c r="M78" s="11"/>
      <c r="N78" s="11"/>
      <c r="P78" s="11"/>
      <c r="Q78" s="11"/>
      <c r="R78" s="11"/>
      <c r="T78" s="11"/>
      <c r="U78" s="78"/>
      <c r="V78" s="78"/>
    </row>
    <row r="79" spans="1:24" ht="12" hidden="1">
      <c r="A79" s="11" t="s">
        <v>65</v>
      </c>
      <c r="B79" s="11"/>
      <c r="C79" s="11"/>
      <c r="D79" s="11"/>
      <c r="E79" s="11"/>
      <c r="F79" s="11"/>
      <c r="H79" s="11"/>
      <c r="I79" s="11"/>
      <c r="J79" s="11"/>
      <c r="L79" s="11"/>
      <c r="M79" s="11"/>
      <c r="N79" s="11"/>
      <c r="P79" s="11"/>
      <c r="Q79" s="11"/>
      <c r="R79" s="11"/>
      <c r="S79" s="88"/>
      <c r="T79" s="11"/>
      <c r="U79" s="78"/>
      <c r="V79" s="78"/>
    </row>
    <row r="80" spans="1:24" ht="12" hidden="1">
      <c r="A80" s="11"/>
      <c r="B80" s="11"/>
      <c r="C80" s="11"/>
      <c r="D80" s="11"/>
      <c r="E80" s="11"/>
      <c r="F80" s="11"/>
      <c r="H80" s="11"/>
      <c r="I80" s="11"/>
      <c r="J80" s="11"/>
      <c r="L80" s="11"/>
      <c r="M80" s="11"/>
      <c r="N80" s="11"/>
      <c r="P80" s="11"/>
      <c r="Q80" s="11"/>
      <c r="R80" s="11"/>
      <c r="T80" s="11"/>
      <c r="U80" s="78"/>
      <c r="V80" s="78"/>
    </row>
    <row r="81" spans="1:22" ht="12" hidden="1">
      <c r="A81" s="6" t="s">
        <v>66</v>
      </c>
      <c r="B81" s="11"/>
      <c r="C81" s="11"/>
      <c r="D81" s="11"/>
      <c r="E81" s="11"/>
      <c r="F81" s="11"/>
      <c r="H81" s="11"/>
      <c r="I81" s="11"/>
      <c r="J81" s="11"/>
      <c r="L81" s="11"/>
      <c r="M81" s="11"/>
      <c r="N81" s="11"/>
      <c r="P81" s="11"/>
      <c r="Q81" s="11"/>
      <c r="R81" s="11"/>
      <c r="T81" s="11"/>
      <c r="U81" s="78"/>
      <c r="V81" s="78"/>
    </row>
    <row r="82" spans="1:22" ht="12" hidden="1">
      <c r="A82" s="6" t="s">
        <v>67</v>
      </c>
      <c r="B82" s="11"/>
      <c r="C82" s="11"/>
      <c r="D82" s="11"/>
      <c r="E82" s="11"/>
      <c r="F82" s="11"/>
      <c r="H82" s="11"/>
      <c r="I82" s="11"/>
      <c r="J82" s="11"/>
      <c r="L82" s="11"/>
      <c r="M82" s="11"/>
      <c r="N82" s="11"/>
      <c r="P82" s="11"/>
      <c r="Q82" s="11"/>
      <c r="R82" s="11"/>
      <c r="S82" s="38"/>
      <c r="T82" s="11"/>
      <c r="U82" s="78"/>
      <c r="V82" s="78"/>
    </row>
    <row r="83" spans="1:22" ht="12" hidden="1">
      <c r="A83" s="11"/>
      <c r="B83" s="11"/>
      <c r="C83" s="11"/>
      <c r="D83" s="11"/>
      <c r="E83" s="11"/>
      <c r="F83" s="11"/>
      <c r="H83" s="11"/>
      <c r="I83" s="11"/>
      <c r="J83" s="11"/>
      <c r="L83" s="11"/>
      <c r="M83" s="11"/>
      <c r="N83" s="11"/>
      <c r="P83" s="11"/>
      <c r="Q83" s="11"/>
      <c r="R83" s="11"/>
      <c r="T83" s="11"/>
      <c r="U83" s="78"/>
      <c r="V83" s="78"/>
    </row>
    <row r="84" spans="1:22" ht="12" hidden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T84" s="11"/>
      <c r="U84" s="78"/>
      <c r="V84" s="78"/>
    </row>
    <row r="85" spans="1:22" ht="12" hidden="1">
      <c r="A85" s="11" t="s">
        <v>69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T85" s="11"/>
      <c r="U85" s="78"/>
      <c r="V85" s="78"/>
    </row>
    <row r="86" spans="1:22" ht="15.75" hidden="1" customHeight="1">
      <c r="G86" s="11"/>
      <c r="K86" s="11"/>
      <c r="O86" s="11"/>
    </row>
    <row r="87" spans="1:22" ht="15.75" hidden="1" customHeight="1">
      <c r="G87" s="11"/>
      <c r="K87" s="11"/>
      <c r="O87" s="11"/>
    </row>
    <row r="88" spans="1:22" ht="15.75" hidden="1" customHeight="1">
      <c r="B88" s="11" t="s">
        <v>68</v>
      </c>
      <c r="C88" s="38">
        <v>-1645</v>
      </c>
      <c r="D88" s="38"/>
      <c r="E88" s="39">
        <f>D88/C88-1</f>
        <v>-1</v>
      </c>
      <c r="F88" s="11"/>
      <c r="G88" s="11"/>
      <c r="H88" s="38"/>
      <c r="I88" s="39" t="e">
        <f>H88/G88-1</f>
        <v>#DIV/0!</v>
      </c>
      <c r="J88" s="11"/>
      <c r="K88" s="11"/>
      <c r="L88" s="38"/>
      <c r="M88" s="39"/>
      <c r="N88" s="11"/>
      <c r="O88" s="11"/>
      <c r="P88" s="38"/>
      <c r="Q88" s="39"/>
      <c r="R88" s="11"/>
      <c r="S88" s="11">
        <v>-1645</v>
      </c>
      <c r="T88" s="38"/>
      <c r="U88" s="79"/>
      <c r="V88" s="78"/>
    </row>
    <row r="89" spans="1:22" ht="15.75" hidden="1" customHeight="1">
      <c r="G89" s="11"/>
      <c r="K89" s="11"/>
      <c r="O89" s="11"/>
    </row>
    <row r="90" spans="1:22" ht="15.75" hidden="1" customHeight="1">
      <c r="G90" s="11"/>
      <c r="K90" s="11"/>
      <c r="O90" s="11"/>
    </row>
    <row r="91" spans="1:22" ht="15.75" hidden="1" customHeight="1">
      <c r="G91" s="11"/>
      <c r="K91" s="11"/>
      <c r="O91" s="11"/>
    </row>
    <row r="92" spans="1:22" ht="15.75" hidden="1" customHeight="1">
      <c r="G92" s="11"/>
      <c r="K92" s="11"/>
      <c r="O92" s="11"/>
    </row>
    <row r="93" spans="1:22" ht="15.75" hidden="1" customHeight="1">
      <c r="G93" s="11"/>
      <c r="K93" s="11"/>
      <c r="O93" s="11"/>
    </row>
    <row r="94" spans="1:22" ht="15.75" hidden="1" customHeight="1">
      <c r="G94" s="11"/>
      <c r="K94" s="11"/>
      <c r="O94" s="11"/>
    </row>
    <row r="95" spans="1:22" ht="15.75" customHeight="1">
      <c r="G95" s="11"/>
      <c r="K95" s="11"/>
      <c r="O95" s="11"/>
    </row>
    <row r="96" spans="1:22" ht="15.75" customHeight="1">
      <c r="C96" s="304"/>
      <c r="D96" s="305"/>
      <c r="E96" s="306"/>
      <c r="F96" s="306"/>
      <c r="G96" s="305"/>
      <c r="H96" s="305"/>
      <c r="I96" s="306"/>
      <c r="J96" s="306"/>
      <c r="K96" s="305"/>
      <c r="L96" s="305"/>
      <c r="M96" s="306"/>
      <c r="N96" s="306"/>
      <c r="O96" s="305"/>
      <c r="P96" s="305"/>
      <c r="Q96" s="306"/>
      <c r="R96" s="306"/>
      <c r="S96" s="48"/>
      <c r="T96" s="48"/>
    </row>
    <row r="97" spans="7:15" ht="15.75" customHeight="1">
      <c r="G97" s="11"/>
      <c r="K97" s="11"/>
      <c r="O97" s="11"/>
    </row>
    <row r="98" spans="7:15" ht="15.75" customHeight="1">
      <c r="G98" s="11"/>
      <c r="K98" s="11"/>
      <c r="O98" s="11"/>
    </row>
    <row r="99" spans="7:15" ht="15.75" customHeight="1">
      <c r="G99" s="11"/>
      <c r="K99" s="11"/>
      <c r="O99" s="11"/>
    </row>
    <row r="100" spans="7:15" ht="15.75" customHeight="1">
      <c r="G100" s="11"/>
      <c r="K100" s="11"/>
      <c r="O100" s="11"/>
    </row>
    <row r="101" spans="7:15" ht="15.75" customHeight="1">
      <c r="G101" s="11"/>
      <c r="K101" s="11"/>
      <c r="O101" s="11"/>
    </row>
    <row r="102" spans="7:15" ht="15.75" customHeight="1">
      <c r="G102" s="11"/>
      <c r="K102" s="11"/>
      <c r="O102" s="11"/>
    </row>
    <row r="103" spans="7:15" ht="15.75" customHeight="1">
      <c r="G103" s="11"/>
      <c r="K103" s="11"/>
      <c r="O103" s="11"/>
    </row>
    <row r="104" spans="7:15" ht="15.75" customHeight="1">
      <c r="G104" s="11"/>
      <c r="K104" s="11"/>
      <c r="O104" s="11"/>
    </row>
    <row r="105" spans="7:15" ht="15.75" customHeight="1">
      <c r="G105" s="11"/>
      <c r="K105" s="11"/>
      <c r="O105" s="11"/>
    </row>
    <row r="106" spans="7:15" ht="15.75" customHeight="1">
      <c r="G106" s="11"/>
      <c r="K106" s="11"/>
      <c r="O106" s="11"/>
    </row>
    <row r="107" spans="7:15" ht="15.75" customHeight="1">
      <c r="G107" s="11"/>
      <c r="K107" s="11"/>
      <c r="O107" s="11"/>
    </row>
    <row r="108" spans="7:15" ht="15.75" customHeight="1">
      <c r="G108" s="11"/>
      <c r="K108" s="11"/>
      <c r="O108" s="11"/>
    </row>
    <row r="109" spans="7:15" ht="15.75" customHeight="1">
      <c r="G109" s="11"/>
      <c r="K109" s="11"/>
      <c r="O109" s="11"/>
    </row>
    <row r="110" spans="7:15" ht="15.75" customHeight="1">
      <c r="G110" s="11"/>
      <c r="K110" s="11"/>
      <c r="O110" s="11"/>
    </row>
    <row r="111" spans="7:15" ht="15.75" customHeight="1">
      <c r="G111" s="11"/>
      <c r="K111" s="11"/>
      <c r="O111" s="11"/>
    </row>
    <row r="112" spans="7:15" ht="15.75" customHeight="1">
      <c r="G112" s="11"/>
      <c r="K112" s="11"/>
      <c r="O112" s="11"/>
    </row>
    <row r="113" spans="7:15" ht="15.75" customHeight="1">
      <c r="G113" s="11"/>
      <c r="K113" s="11"/>
      <c r="O113" s="11"/>
    </row>
  </sheetData>
  <printOptions horizontalCentered="1"/>
  <pageMargins left="0.51181102362204722" right="0.51181102362204722" top="0.47244094488188981" bottom="0.35433070866141736" header="0.31496062992125984" footer="0.31496062992125984"/>
  <pageSetup scale="2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9CF4-A4A5-4C2D-BEB7-E127EA9B7D1B}">
  <sheetPr codeName="Planilha1"/>
  <dimension ref="A1:Q53"/>
  <sheetViews>
    <sheetView topLeftCell="B1" zoomScale="99" zoomScaleNormal="99" workbookViewId="0">
      <selection activeCell="Q3" sqref="Q3"/>
    </sheetView>
  </sheetViews>
  <sheetFormatPr defaultColWidth="9.109375" defaultRowHeight="14.4"/>
  <cols>
    <col min="1" max="1" width="41.5546875" style="4" bestFit="1" customWidth="1"/>
    <col min="2" max="2" width="32.88671875" style="4" bestFit="1" customWidth="1"/>
    <col min="3" max="3" width="11.44140625" style="4" customWidth="1"/>
    <col min="4" max="4" width="10.88671875" style="4" customWidth="1"/>
    <col min="5" max="5" width="11.88671875" style="4" customWidth="1"/>
    <col min="6" max="6" width="11" style="4" customWidth="1"/>
    <col min="7" max="7" width="11.109375" style="4" customWidth="1"/>
    <col min="8" max="8" width="11.44140625" style="4" customWidth="1"/>
    <col min="9" max="10" width="11.109375" style="4" customWidth="1"/>
    <col min="11" max="11" width="11.5546875" style="4" customWidth="1"/>
    <col min="12" max="13" width="11.109375" style="4" customWidth="1"/>
    <col min="14" max="14" width="12.6640625" customWidth="1"/>
    <col min="15" max="15" width="12.109375" customWidth="1"/>
    <col min="16" max="16" width="11.33203125" customWidth="1"/>
    <col min="17" max="17" width="11.44140625" bestFit="1" customWidth="1"/>
  </cols>
  <sheetData>
    <row r="1" spans="1:17" ht="119.25" customHeight="1" thickBot="1"/>
    <row r="2" spans="1:17" ht="15.75" customHeight="1" thickBot="1">
      <c r="A2" s="322" t="s">
        <v>319</v>
      </c>
      <c r="B2" s="323"/>
      <c r="C2" s="355">
        <v>2011</v>
      </c>
      <c r="D2" s="355">
        <v>2012</v>
      </c>
      <c r="E2" s="355">
        <v>2013</v>
      </c>
      <c r="F2" s="355">
        <v>2014</v>
      </c>
      <c r="G2" s="355">
        <v>2015</v>
      </c>
      <c r="H2" s="355">
        <v>2016</v>
      </c>
      <c r="I2" s="355">
        <v>2017</v>
      </c>
      <c r="J2" s="355">
        <v>2018</v>
      </c>
      <c r="K2" s="355">
        <v>2019</v>
      </c>
      <c r="L2" s="355">
        <v>2020</v>
      </c>
      <c r="M2" s="355">
        <v>2021</v>
      </c>
      <c r="N2" s="1">
        <v>2022</v>
      </c>
      <c r="O2" s="1">
        <v>2023</v>
      </c>
      <c r="P2" s="1">
        <v>2024</v>
      </c>
    </row>
    <row r="3" spans="1:17" ht="15.75" customHeight="1">
      <c r="A3" s="324" t="s">
        <v>463</v>
      </c>
      <c r="B3" s="308"/>
      <c r="C3" s="356">
        <v>319857</v>
      </c>
      <c r="D3" s="357">
        <v>377133</v>
      </c>
      <c r="E3" s="357">
        <v>522864.00000000006</v>
      </c>
      <c r="F3" s="358">
        <v>501556</v>
      </c>
      <c r="G3" s="358">
        <v>491434</v>
      </c>
      <c r="H3" s="359">
        <v>443621.99999999994</v>
      </c>
      <c r="I3" s="358">
        <v>412361</v>
      </c>
      <c r="J3" s="358">
        <v>363499.73664000002</v>
      </c>
      <c r="K3" s="358">
        <v>378366.44312000007</v>
      </c>
      <c r="L3" s="358">
        <v>285105.17800999974</v>
      </c>
      <c r="M3" s="379">
        <v>350920.30887999985</v>
      </c>
      <c r="N3" s="379">
        <v>400492.21608000016</v>
      </c>
      <c r="O3" s="379">
        <v>395830.8989400001</v>
      </c>
      <c r="P3" s="379">
        <v>464305.99811000022</v>
      </c>
    </row>
    <row r="4" spans="1:17" ht="15.75" customHeight="1">
      <c r="A4" s="326" t="s">
        <v>464</v>
      </c>
      <c r="B4" s="326"/>
      <c r="C4" s="360">
        <v>-11633</v>
      </c>
      <c r="D4" s="360">
        <v>-9958.2513770875557</v>
      </c>
      <c r="E4" s="360">
        <v>-14437.999999999904</v>
      </c>
      <c r="F4" s="23">
        <v>-17795</v>
      </c>
      <c r="G4" s="23">
        <v>-22046</v>
      </c>
      <c r="H4" s="360">
        <v>-19637.999999999996</v>
      </c>
      <c r="I4" s="23">
        <v>-12442.999999999998</v>
      </c>
      <c r="J4" s="23">
        <v>-7305</v>
      </c>
      <c r="K4" s="23">
        <v>-7481.9999999999991</v>
      </c>
      <c r="L4" s="23">
        <v>-4070.1846299999902</v>
      </c>
      <c r="M4" s="23">
        <v>-5877.2233299999998</v>
      </c>
      <c r="N4" s="23">
        <v>-14678.83246</v>
      </c>
      <c r="O4" s="23">
        <v>-15562.611319999996</v>
      </c>
      <c r="P4" s="23">
        <v>-15601.996949999961</v>
      </c>
    </row>
    <row r="5" spans="1:17" ht="15.75" customHeight="1">
      <c r="A5" s="325" t="s">
        <v>465</v>
      </c>
      <c r="B5" s="326"/>
      <c r="C5" s="359">
        <v>-47935</v>
      </c>
      <c r="D5" s="359">
        <v>-55935.611050000007</v>
      </c>
      <c r="E5" s="359">
        <v>-76839</v>
      </c>
      <c r="F5" s="358">
        <v>-72963</v>
      </c>
      <c r="G5" s="358">
        <v>-75586</v>
      </c>
      <c r="H5" s="359">
        <v>-65951.316800000001</v>
      </c>
      <c r="I5" s="358">
        <v>-61605</v>
      </c>
      <c r="J5" s="358">
        <v>-51514.476329999998</v>
      </c>
      <c r="K5" s="358">
        <v>-55731.880619999996</v>
      </c>
      <c r="L5" s="358">
        <v>-36955.979920000027</v>
      </c>
      <c r="M5" s="358">
        <v>-31144.227900000031</v>
      </c>
      <c r="N5" s="358">
        <v>-35852.520007156549</v>
      </c>
      <c r="O5" s="358">
        <v>-39207.958490926401</v>
      </c>
      <c r="P5" s="358">
        <v>-49932.785479999962</v>
      </c>
    </row>
    <row r="6" spans="1:17" ht="15.75" customHeight="1">
      <c r="A6" s="326" t="s">
        <v>466</v>
      </c>
      <c r="B6" s="326"/>
      <c r="C6" s="360">
        <v>1741</v>
      </c>
      <c r="D6" s="361">
        <v>1476</v>
      </c>
      <c r="E6" s="361">
        <v>2108.8207414252761</v>
      </c>
      <c r="F6" s="23">
        <v>2635</v>
      </c>
      <c r="G6" s="23">
        <v>3491</v>
      </c>
      <c r="H6" s="361">
        <v>2840.2909403039739</v>
      </c>
      <c r="I6" s="23">
        <v>1763</v>
      </c>
      <c r="J6" s="23">
        <v>1015.9153952451331</v>
      </c>
      <c r="K6" s="23">
        <v>1073.7133717070067</v>
      </c>
      <c r="L6" s="23">
        <v>528.36904886796685</v>
      </c>
      <c r="M6" s="23">
        <v>502.82026416959491</v>
      </c>
      <c r="N6" s="23">
        <v>1270.7352007543432</v>
      </c>
      <c r="O6" s="23">
        <v>1286.468590999018</v>
      </c>
      <c r="P6" s="23">
        <v>1508.7962626366023</v>
      </c>
    </row>
    <row r="7" spans="1:17" ht="15.75" customHeight="1">
      <c r="A7" s="325"/>
      <c r="B7" s="326"/>
      <c r="C7" s="362"/>
      <c r="D7" s="361"/>
      <c r="E7" s="361"/>
      <c r="F7" s="363"/>
      <c r="G7" s="363"/>
      <c r="H7" s="361"/>
      <c r="I7" s="363"/>
      <c r="J7" s="363"/>
      <c r="K7" s="26"/>
      <c r="L7" s="26"/>
      <c r="M7" s="26"/>
      <c r="N7" s="24"/>
      <c r="O7" s="24"/>
      <c r="P7" s="24"/>
    </row>
    <row r="8" spans="1:17" ht="15.75" customHeight="1">
      <c r="A8" s="309" t="s">
        <v>467</v>
      </c>
      <c r="B8" s="310"/>
      <c r="C8" s="364">
        <f>SUM(C3:C6)</f>
        <v>262030</v>
      </c>
      <c r="D8" s="364">
        <f t="shared" ref="D8:L8" si="0">SUM(D3:D6)</f>
        <v>312715.13757291244</v>
      </c>
      <c r="E8" s="364">
        <f t="shared" si="0"/>
        <v>433695.82074142544</v>
      </c>
      <c r="F8" s="364">
        <f t="shared" si="0"/>
        <v>413433</v>
      </c>
      <c r="G8" s="364">
        <f t="shared" si="0"/>
        <v>397293</v>
      </c>
      <c r="H8" s="364">
        <f t="shared" si="0"/>
        <v>360872.97414030397</v>
      </c>
      <c r="I8" s="364">
        <f t="shared" si="0"/>
        <v>340076</v>
      </c>
      <c r="J8" s="364">
        <f t="shared" si="0"/>
        <v>305696.17570524517</v>
      </c>
      <c r="K8" s="364">
        <f t="shared" si="0"/>
        <v>316226.27587170707</v>
      </c>
      <c r="L8" s="364">
        <f t="shared" si="0"/>
        <v>244607.38250886771</v>
      </c>
      <c r="M8" s="364">
        <v>314401.67791416938</v>
      </c>
      <c r="N8" s="8">
        <v>351231.59881359799</v>
      </c>
      <c r="O8" s="8">
        <v>342346.79772007267</v>
      </c>
      <c r="P8" s="8">
        <v>400280.01194263692</v>
      </c>
    </row>
    <row r="9" spans="1:17" ht="15.75" customHeight="1">
      <c r="A9" s="325"/>
      <c r="B9" s="326"/>
      <c r="C9" s="361"/>
      <c r="D9" s="361"/>
      <c r="E9" s="361"/>
      <c r="F9" s="363"/>
      <c r="G9" s="363"/>
      <c r="H9" s="361"/>
      <c r="I9" s="23"/>
      <c r="J9" s="23"/>
      <c r="K9" s="23"/>
      <c r="L9" s="23"/>
      <c r="M9" s="23"/>
      <c r="N9" s="23"/>
      <c r="O9" s="23"/>
      <c r="P9" s="23"/>
    </row>
    <row r="10" spans="1:17" ht="15.75" customHeight="1">
      <c r="A10" s="309" t="s">
        <v>2</v>
      </c>
      <c r="B10" s="310"/>
      <c r="C10" s="365">
        <v>166166</v>
      </c>
      <c r="D10" s="365">
        <v>187928</v>
      </c>
      <c r="E10" s="365">
        <v>250774</v>
      </c>
      <c r="F10" s="8">
        <v>229802</v>
      </c>
      <c r="G10" s="8">
        <v>206778</v>
      </c>
      <c r="H10" s="365">
        <v>169579.97414030397</v>
      </c>
      <c r="I10" s="8">
        <v>155073</v>
      </c>
      <c r="J10" s="8">
        <v>146658.17570524517</v>
      </c>
      <c r="K10" s="8">
        <v>109243</v>
      </c>
      <c r="L10" s="8">
        <v>112399</v>
      </c>
      <c r="M10" s="8">
        <v>165175.67791416938</v>
      </c>
      <c r="N10" s="8">
        <v>190550.0363354219</v>
      </c>
      <c r="O10" s="8">
        <v>189380.19772007267</v>
      </c>
      <c r="P10" s="8">
        <v>218850.22727103916</v>
      </c>
    </row>
    <row r="11" spans="1:17" ht="15.75" customHeight="1">
      <c r="A11" s="311" t="s">
        <v>4</v>
      </c>
      <c r="B11" s="311"/>
      <c r="C11" s="9">
        <f>C10/C8</f>
        <v>0.63414876159218414</v>
      </c>
      <c r="D11" s="9">
        <f t="shared" ref="D11:L11" si="1">D10/D8</f>
        <v>0.60095587779527571</v>
      </c>
      <c r="E11" s="9">
        <f t="shared" si="1"/>
        <v>0.57822553966807633</v>
      </c>
      <c r="F11" s="9">
        <f t="shared" si="1"/>
        <v>0.55583855183306607</v>
      </c>
      <c r="G11" s="9">
        <f t="shared" si="1"/>
        <v>0.52046726219691763</v>
      </c>
      <c r="H11" s="9">
        <f t="shared" si="1"/>
        <v>0.46991597124802392</v>
      </c>
      <c r="I11" s="9">
        <f t="shared" si="1"/>
        <v>0.4559951305002411</v>
      </c>
      <c r="J11" s="9">
        <f t="shared" si="1"/>
        <v>0.47975142432483103</v>
      </c>
      <c r="K11" s="9">
        <f t="shared" si="1"/>
        <v>0.3454583263166906</v>
      </c>
      <c r="L11" s="9">
        <f t="shared" si="1"/>
        <v>0.45950779918069407</v>
      </c>
      <c r="M11" s="9">
        <v>0.52536512848783778</v>
      </c>
      <c r="N11" s="9">
        <v>0.54251962801487186</v>
      </c>
      <c r="O11" s="9">
        <v>0.55318232558706015</v>
      </c>
      <c r="P11" s="9">
        <v>0.54674283187141004</v>
      </c>
    </row>
    <row r="12" spans="1:17" ht="15.75" customHeight="1">
      <c r="A12" s="325"/>
      <c r="B12" s="311"/>
      <c r="C12" s="361"/>
      <c r="D12" s="366"/>
      <c r="E12" s="366"/>
      <c r="F12" s="367"/>
      <c r="G12" s="41"/>
      <c r="H12" s="366"/>
      <c r="I12" s="367"/>
      <c r="J12" s="367"/>
      <c r="K12" s="366"/>
      <c r="L12" s="366"/>
      <c r="M12" s="366"/>
      <c r="N12" s="24"/>
      <c r="O12" s="24"/>
      <c r="P12" s="24"/>
    </row>
    <row r="13" spans="1:17" ht="15.75" customHeight="1">
      <c r="A13" s="309" t="s">
        <v>52</v>
      </c>
      <c r="B13" s="310"/>
      <c r="C13" s="365">
        <v>-69788</v>
      </c>
      <c r="D13" s="365">
        <v>-87861</v>
      </c>
      <c r="E13" s="365">
        <v>-132846</v>
      </c>
      <c r="F13" s="8">
        <v>-118936</v>
      </c>
      <c r="G13" s="8">
        <v>-129581</v>
      </c>
      <c r="H13" s="365">
        <v>-124091</v>
      </c>
      <c r="I13" s="8">
        <v>-132676</v>
      </c>
      <c r="J13" s="8">
        <v>-95945</v>
      </c>
      <c r="K13" s="8">
        <v>-103839</v>
      </c>
      <c r="L13" s="8">
        <v>-63578</v>
      </c>
      <c r="M13" s="8">
        <v>-69425</v>
      </c>
      <c r="N13" s="8">
        <v>-84225</v>
      </c>
      <c r="O13" s="8">
        <v>-88623</v>
      </c>
      <c r="P13" s="8">
        <v>-105589.26373000005</v>
      </c>
      <c r="Q13" s="381"/>
    </row>
    <row r="14" spans="1:17" ht="15.75" customHeight="1">
      <c r="A14" s="309" t="s">
        <v>468</v>
      </c>
      <c r="B14" s="310"/>
      <c r="C14" s="365"/>
      <c r="D14" s="365"/>
      <c r="E14" s="365"/>
      <c r="F14" s="8"/>
      <c r="G14" s="8"/>
      <c r="H14" s="8"/>
      <c r="I14" s="8">
        <v>-0.39013632246909513</v>
      </c>
      <c r="J14" s="8">
        <v>-13287</v>
      </c>
      <c r="K14" s="8">
        <v>-3828</v>
      </c>
      <c r="L14" s="8">
        <v>-14704</v>
      </c>
      <c r="M14" s="8">
        <v>-784</v>
      </c>
      <c r="N14" s="8">
        <v>0</v>
      </c>
      <c r="O14" s="8">
        <v>0</v>
      </c>
      <c r="P14" s="8">
        <v>0</v>
      </c>
      <c r="Q14" s="354"/>
    </row>
    <row r="15" spans="1:17" ht="179.4" hidden="1" customHeight="1">
      <c r="A15" s="309" t="s">
        <v>469</v>
      </c>
      <c r="B15" s="310"/>
      <c r="C15" s="365"/>
      <c r="D15" s="365"/>
      <c r="E15" s="365"/>
      <c r="F15" s="8"/>
      <c r="G15" s="8"/>
      <c r="H15" s="8"/>
      <c r="I15" s="8"/>
      <c r="J15" s="8">
        <v>-4310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354"/>
    </row>
    <row r="16" spans="1:17">
      <c r="A16" s="312" t="s">
        <v>470</v>
      </c>
      <c r="B16" s="312"/>
      <c r="C16" s="368">
        <v>-0.2663359157348395</v>
      </c>
      <c r="D16" s="368">
        <v>-0.28096177461033334</v>
      </c>
      <c r="E16" s="368">
        <v>-0.30631145989115816</v>
      </c>
      <c r="F16" s="368">
        <v>-0.28767901933324136</v>
      </c>
      <c r="G16" s="368">
        <v>-0.32615978635415172</v>
      </c>
      <c r="H16" s="368">
        <v>0.34386337823057539</v>
      </c>
      <c r="I16" s="368">
        <f>I13/I8</f>
        <v>-0.39013632246909513</v>
      </c>
      <c r="J16" s="368">
        <v>-0.37142106779077982</v>
      </c>
      <c r="K16" s="368">
        <v>-0.34047592695074708</v>
      </c>
      <c r="L16" s="368">
        <v>-0.32003172435784749</v>
      </c>
      <c r="M16" s="368">
        <v>-0.22330987692491522</v>
      </c>
      <c r="N16" s="10">
        <v>-0.23979903939309011</v>
      </c>
      <c r="O16" s="10">
        <v>-0.25886907834454037</v>
      </c>
      <c r="P16" s="10">
        <v>-0.26378849949952476</v>
      </c>
      <c r="Q16" s="354"/>
    </row>
    <row r="17" spans="1:17">
      <c r="A17" s="325"/>
      <c r="B17" s="326"/>
      <c r="C17" s="361"/>
      <c r="D17" s="361"/>
      <c r="E17" s="361"/>
      <c r="F17" s="363"/>
      <c r="G17" s="42"/>
      <c r="H17" s="25"/>
      <c r="I17" s="363"/>
      <c r="J17" s="363"/>
      <c r="K17" s="25"/>
      <c r="L17" s="25"/>
      <c r="M17" s="25"/>
      <c r="N17" s="24"/>
      <c r="O17" s="23"/>
      <c r="P17" s="23"/>
      <c r="Q17" s="354"/>
    </row>
    <row r="18" spans="1:17">
      <c r="A18" s="309" t="s">
        <v>471</v>
      </c>
      <c r="B18" s="310"/>
      <c r="C18" s="365">
        <v>-24415</v>
      </c>
      <c r="D18" s="365">
        <v>-27788</v>
      </c>
      <c r="E18" s="365">
        <v>-40504</v>
      </c>
      <c r="F18" s="8">
        <v>-33902</v>
      </c>
      <c r="G18" s="8">
        <v>-36416</v>
      </c>
      <c r="H18" s="365">
        <v>-35735</v>
      </c>
      <c r="I18" s="8">
        <v>-36213</v>
      </c>
      <c r="J18" s="8">
        <v>-35189</v>
      </c>
      <c r="K18" s="8">
        <v>-39589</v>
      </c>
      <c r="L18" s="8">
        <v>-33850</v>
      </c>
      <c r="M18" s="8">
        <v>-37499</v>
      </c>
      <c r="N18" s="8">
        <v>-38493</v>
      </c>
      <c r="O18" s="8">
        <v>-41299</v>
      </c>
      <c r="P18" s="8">
        <v>-40492.871306779016</v>
      </c>
      <c r="Q18" s="102"/>
    </row>
    <row r="19" spans="1:17">
      <c r="A19" s="312" t="s">
        <v>470</v>
      </c>
      <c r="B19" s="312"/>
      <c r="C19" s="10">
        <v>-9.317635385261229E-2</v>
      </c>
      <c r="D19" s="10">
        <v>-8.88604249083432E-2</v>
      </c>
      <c r="E19" s="10">
        <v>-9.3392645404690167E-2</v>
      </c>
      <c r="F19" s="10">
        <v>-8.2001194873171701E-2</v>
      </c>
      <c r="G19" s="10">
        <v>-9.1660311155746521E-2</v>
      </c>
      <c r="H19" s="10">
        <v>9.9023763375825899E-2</v>
      </c>
      <c r="I19" s="10">
        <v>-0.10648502099530693</v>
      </c>
      <c r="J19" s="10">
        <v>-0.11511102459433294</v>
      </c>
      <c r="K19" s="10">
        <v>-0.12519250533639023</v>
      </c>
      <c r="L19" s="10">
        <v>-0.13838524653832474</v>
      </c>
      <c r="M19" s="10">
        <v>-0.11927099196409856</v>
      </c>
      <c r="N19" s="10">
        <v>-0.10959435349787137</v>
      </c>
      <c r="O19" s="10">
        <v>-0.12063498264052415</v>
      </c>
      <c r="P19" s="10">
        <v>-0.10116136229300889</v>
      </c>
    </row>
    <row r="20" spans="1:17">
      <c r="A20" s="325"/>
      <c r="B20" s="326"/>
      <c r="C20" s="361"/>
      <c r="D20" s="361"/>
      <c r="E20" s="361"/>
      <c r="F20" s="363"/>
      <c r="G20" s="42"/>
      <c r="H20" s="361"/>
      <c r="I20" s="363"/>
      <c r="J20" s="363"/>
      <c r="K20" s="363"/>
      <c r="L20" s="363"/>
      <c r="M20" s="363"/>
      <c r="N20" s="24"/>
      <c r="O20" s="23"/>
      <c r="P20" s="23"/>
      <c r="Q20" s="102"/>
    </row>
    <row r="21" spans="1:17">
      <c r="A21" s="309" t="s">
        <v>472</v>
      </c>
      <c r="B21" s="310"/>
      <c r="C21" s="365">
        <v>26537</v>
      </c>
      <c r="D21" s="365">
        <v>-7520</v>
      </c>
      <c r="E21" s="365">
        <v>-28934</v>
      </c>
      <c r="F21" s="8">
        <v>-11784</v>
      </c>
      <c r="G21" s="8">
        <v>-9126</v>
      </c>
      <c r="H21" s="365">
        <v>-1209</v>
      </c>
      <c r="I21" s="8">
        <v>1043</v>
      </c>
      <c r="J21" s="8">
        <v>-829</v>
      </c>
      <c r="K21" s="8">
        <v>-88632</v>
      </c>
      <c r="L21" s="8">
        <v>-9883</v>
      </c>
      <c r="M21" s="8">
        <v>-6819</v>
      </c>
      <c r="N21" s="8">
        <v>-12231</v>
      </c>
      <c r="O21" s="8">
        <v>2257</v>
      </c>
      <c r="P21" s="8">
        <v>-6001.1664099999998</v>
      </c>
    </row>
    <row r="22" spans="1:17">
      <c r="A22" s="325"/>
      <c r="B22" s="326"/>
      <c r="C22" s="361"/>
      <c r="D22" s="361"/>
      <c r="E22" s="361"/>
      <c r="F22" s="363"/>
      <c r="G22" s="40"/>
      <c r="H22" s="361"/>
      <c r="I22" s="363"/>
      <c r="J22" s="363"/>
      <c r="K22" s="363"/>
      <c r="L22" s="363"/>
      <c r="M22" s="363"/>
      <c r="N22" s="24"/>
      <c r="O22" s="23"/>
      <c r="P22" s="23"/>
    </row>
    <row r="23" spans="1:17">
      <c r="A23" s="325" t="s">
        <v>473</v>
      </c>
      <c r="B23" s="326"/>
      <c r="C23" s="369">
        <f>C10+C13+C18+C21+C14+C15</f>
        <v>98500</v>
      </c>
      <c r="D23" s="369">
        <f t="shared" ref="D23:L23" si="2">D10+D13+D18+D21+D14+D15</f>
        <v>64759</v>
      </c>
      <c r="E23" s="369">
        <f t="shared" si="2"/>
        <v>48490</v>
      </c>
      <c r="F23" s="369">
        <f t="shared" si="2"/>
        <v>65180</v>
      </c>
      <c r="G23" s="369">
        <f t="shared" si="2"/>
        <v>31655</v>
      </c>
      <c r="H23" s="369">
        <f t="shared" si="2"/>
        <v>8544.9741403039661</v>
      </c>
      <c r="I23" s="369">
        <f t="shared" si="2"/>
        <v>-12773.390136322469</v>
      </c>
      <c r="J23" s="369">
        <f t="shared" si="2"/>
        <v>-2901.8242947548279</v>
      </c>
      <c r="K23" s="369">
        <f t="shared" si="2"/>
        <v>-126645</v>
      </c>
      <c r="L23" s="369">
        <f t="shared" si="2"/>
        <v>-9616</v>
      </c>
      <c r="M23" s="369">
        <v>50648.677914169384</v>
      </c>
      <c r="N23" s="23">
        <v>55601.036335421901</v>
      </c>
      <c r="O23" s="23">
        <v>61715.197720072669</v>
      </c>
      <c r="P23" s="23">
        <v>66766.925824260077</v>
      </c>
    </row>
    <row r="24" spans="1:17">
      <c r="A24" s="325"/>
      <c r="B24" s="326"/>
      <c r="C24" s="361"/>
      <c r="D24" s="361"/>
      <c r="E24" s="361"/>
      <c r="F24" s="363"/>
      <c r="G24" s="43"/>
      <c r="H24" s="361"/>
      <c r="I24" s="363"/>
      <c r="J24" s="363"/>
      <c r="K24" s="363"/>
      <c r="L24" s="363"/>
      <c r="M24" s="363"/>
      <c r="N24" s="24"/>
      <c r="O24" s="23"/>
      <c r="P24" s="23"/>
    </row>
    <row r="25" spans="1:17">
      <c r="A25" s="310" t="s">
        <v>474</v>
      </c>
      <c r="B25" s="310"/>
      <c r="C25" s="365">
        <v>-9288</v>
      </c>
      <c r="D25" s="365">
        <v>-3374</v>
      </c>
      <c r="E25" s="365">
        <v>-29310</v>
      </c>
      <c r="F25" s="8">
        <v>-40566</v>
      </c>
      <c r="G25" s="8">
        <v>-58084</v>
      </c>
      <c r="H25" s="365">
        <v>-85736</v>
      </c>
      <c r="I25" s="8">
        <v>-45134</v>
      </c>
      <c r="J25" s="8">
        <v>-78624</v>
      </c>
      <c r="K25" s="8">
        <v>-45519</v>
      </c>
      <c r="L25" s="8">
        <v>-78936</v>
      </c>
      <c r="M25" s="8">
        <v>-27277</v>
      </c>
      <c r="N25" s="8">
        <v>-37123</v>
      </c>
      <c r="O25" s="8">
        <v>-27125</v>
      </c>
      <c r="P25" s="8">
        <v>-25067.360720000001</v>
      </c>
    </row>
    <row r="26" spans="1:17">
      <c r="A26" s="310" t="s">
        <v>475</v>
      </c>
      <c r="B26" s="310"/>
      <c r="C26" s="365">
        <v>16592</v>
      </c>
      <c r="D26" s="365">
        <v>20034</v>
      </c>
      <c r="E26" s="365">
        <v>23764</v>
      </c>
      <c r="F26" s="8">
        <v>30667</v>
      </c>
      <c r="G26" s="8">
        <v>57485</v>
      </c>
      <c r="H26" s="365">
        <v>79046</v>
      </c>
      <c r="I26" s="8">
        <v>42635</v>
      </c>
      <c r="J26" s="8">
        <v>82873</v>
      </c>
      <c r="K26" s="8">
        <v>40336</v>
      </c>
      <c r="L26" s="8">
        <v>54628</v>
      </c>
      <c r="M26" s="8">
        <v>12246</v>
      </c>
      <c r="N26" s="8">
        <v>27152</v>
      </c>
      <c r="O26" s="8">
        <v>30641</v>
      </c>
      <c r="P26" s="8">
        <v>43403.342913635977</v>
      </c>
    </row>
    <row r="27" spans="1:17">
      <c r="A27" s="309" t="s">
        <v>476</v>
      </c>
      <c r="B27" s="310"/>
      <c r="C27" s="365">
        <f>SUM(C25:C26)</f>
        <v>7304</v>
      </c>
      <c r="D27" s="365">
        <f t="shared" ref="D27:L27" si="3">SUM(D25:D26)</f>
        <v>16660</v>
      </c>
      <c r="E27" s="365">
        <f t="shared" si="3"/>
        <v>-5546</v>
      </c>
      <c r="F27" s="365">
        <f t="shared" si="3"/>
        <v>-9899</v>
      </c>
      <c r="G27" s="365">
        <f t="shared" si="3"/>
        <v>-599</v>
      </c>
      <c r="H27" s="365">
        <f t="shared" si="3"/>
        <v>-6690</v>
      </c>
      <c r="I27" s="365">
        <f t="shared" si="3"/>
        <v>-2499</v>
      </c>
      <c r="J27" s="365">
        <f t="shared" si="3"/>
        <v>4249</v>
      </c>
      <c r="K27" s="365">
        <f t="shared" si="3"/>
        <v>-5183</v>
      </c>
      <c r="L27" s="365">
        <f t="shared" si="3"/>
        <v>-24308</v>
      </c>
      <c r="M27" s="365">
        <v>-15031</v>
      </c>
      <c r="N27" s="8">
        <v>-9971</v>
      </c>
      <c r="O27" s="8">
        <v>3516</v>
      </c>
      <c r="P27" s="8">
        <v>18335.982193635977</v>
      </c>
    </row>
    <row r="28" spans="1:17">
      <c r="A28" s="325"/>
      <c r="B28" s="326"/>
      <c r="C28" s="361"/>
      <c r="D28" s="361"/>
      <c r="E28" s="361"/>
      <c r="F28" s="370"/>
      <c r="G28" s="40"/>
      <c r="H28" s="361"/>
      <c r="I28" s="370"/>
      <c r="J28" s="370"/>
      <c r="K28" s="370"/>
      <c r="L28" s="370"/>
      <c r="M28" s="370"/>
      <c r="N28" s="85"/>
      <c r="O28" s="85"/>
      <c r="P28" s="85"/>
    </row>
    <row r="29" spans="1:17">
      <c r="A29" s="325" t="s">
        <v>477</v>
      </c>
      <c r="B29" s="326"/>
      <c r="C29" s="361">
        <f>C23+C27</f>
        <v>105804</v>
      </c>
      <c r="D29" s="361">
        <f t="shared" ref="D29:L29" si="4">D23+D27</f>
        <v>81419</v>
      </c>
      <c r="E29" s="361">
        <f t="shared" si="4"/>
        <v>42944</v>
      </c>
      <c r="F29" s="361">
        <f t="shared" si="4"/>
        <v>55281</v>
      </c>
      <c r="G29" s="361">
        <f t="shared" si="4"/>
        <v>31056</v>
      </c>
      <c r="H29" s="361">
        <f t="shared" si="4"/>
        <v>1854.9741403039661</v>
      </c>
      <c r="I29" s="361">
        <f t="shared" si="4"/>
        <v>-15272.390136322469</v>
      </c>
      <c r="J29" s="361">
        <f t="shared" si="4"/>
        <v>1347.1757052451721</v>
      </c>
      <c r="K29" s="361">
        <f t="shared" si="4"/>
        <v>-131828</v>
      </c>
      <c r="L29" s="361">
        <f t="shared" si="4"/>
        <v>-33924</v>
      </c>
      <c r="M29" s="361">
        <v>35617.677914169384</v>
      </c>
      <c r="N29" s="23">
        <v>45630.036335421901</v>
      </c>
      <c r="O29" s="23">
        <v>65231.197720072669</v>
      </c>
      <c r="P29" s="23">
        <v>85102.908017896058</v>
      </c>
    </row>
    <row r="30" spans="1:17">
      <c r="A30" s="325"/>
      <c r="B30" s="326"/>
      <c r="C30" s="361"/>
      <c r="D30" s="361"/>
      <c r="E30" s="361"/>
      <c r="F30" s="23"/>
      <c r="G30" s="23"/>
      <c r="H30" s="361"/>
      <c r="I30" s="23">
        <v>0</v>
      </c>
      <c r="J30" s="23"/>
      <c r="K30" s="23"/>
      <c r="L30" s="23"/>
      <c r="M30" s="23"/>
      <c r="N30" s="23"/>
      <c r="O30" s="23"/>
      <c r="P30" s="23"/>
    </row>
    <row r="31" spans="1:17">
      <c r="A31" s="326" t="s">
        <v>478</v>
      </c>
      <c r="B31" s="326"/>
      <c r="C31" s="361">
        <v>-5992</v>
      </c>
      <c r="D31" s="361">
        <v>-6459</v>
      </c>
      <c r="E31" s="361">
        <v>-7244</v>
      </c>
      <c r="F31" s="23">
        <v>-7146</v>
      </c>
      <c r="G31" s="23">
        <v>-7223</v>
      </c>
      <c r="H31" s="361">
        <v>178</v>
      </c>
      <c r="I31" s="23">
        <v>0</v>
      </c>
      <c r="J31" s="23">
        <v>0</v>
      </c>
      <c r="K31" s="23">
        <v>0</v>
      </c>
      <c r="L31" s="23">
        <v>-1893</v>
      </c>
      <c r="M31" s="23">
        <v>-1568</v>
      </c>
      <c r="N31" s="23">
        <v>-6822</v>
      </c>
      <c r="O31" s="23">
        <v>-2620</v>
      </c>
      <c r="P31" s="23">
        <v>-11520.847135410997</v>
      </c>
    </row>
    <row r="32" spans="1:17">
      <c r="A32" s="326" t="s">
        <v>479</v>
      </c>
      <c r="B32" s="326"/>
      <c r="C32" s="361">
        <v>-10855</v>
      </c>
      <c r="D32" s="361">
        <v>-11196</v>
      </c>
      <c r="E32" s="361">
        <v>-4178</v>
      </c>
      <c r="F32" s="23">
        <v>-1907</v>
      </c>
      <c r="G32" s="23">
        <v>-1818</v>
      </c>
      <c r="H32" s="361">
        <v>-3969</v>
      </c>
      <c r="I32" s="23">
        <v>3188</v>
      </c>
      <c r="J32" s="23">
        <v>13022</v>
      </c>
      <c r="K32" s="23">
        <v>9174</v>
      </c>
      <c r="L32" s="23">
        <v>7654</v>
      </c>
      <c r="M32" s="23">
        <v>-5969</v>
      </c>
      <c r="N32" s="23">
        <v>1115</v>
      </c>
      <c r="O32" s="23">
        <v>-6399</v>
      </c>
      <c r="P32" s="23">
        <v>-8747.6322700000001</v>
      </c>
    </row>
    <row r="33" spans="1:16">
      <c r="A33" s="309" t="s">
        <v>480</v>
      </c>
      <c r="B33" s="310"/>
      <c r="C33" s="365">
        <f>SUM(C31:C32)</f>
        <v>-16847</v>
      </c>
      <c r="D33" s="365">
        <f t="shared" ref="D33:L33" si="5">SUM(D31:D32)</f>
        <v>-17655</v>
      </c>
      <c r="E33" s="365">
        <f t="shared" si="5"/>
        <v>-11422</v>
      </c>
      <c r="F33" s="365">
        <f t="shared" si="5"/>
        <v>-9053</v>
      </c>
      <c r="G33" s="365">
        <f t="shared" si="5"/>
        <v>-9041</v>
      </c>
      <c r="H33" s="365">
        <f t="shared" si="5"/>
        <v>-3791</v>
      </c>
      <c r="I33" s="365">
        <f t="shared" si="5"/>
        <v>3188</v>
      </c>
      <c r="J33" s="365">
        <f t="shared" si="5"/>
        <v>13022</v>
      </c>
      <c r="K33" s="365">
        <f t="shared" si="5"/>
        <v>9174</v>
      </c>
      <c r="L33" s="365">
        <f t="shared" si="5"/>
        <v>5761</v>
      </c>
      <c r="M33" s="365">
        <v>-7537</v>
      </c>
      <c r="N33" s="8">
        <v>-5707</v>
      </c>
      <c r="O33" s="8">
        <v>-9019</v>
      </c>
      <c r="P33" s="8">
        <v>-20268.479405410995</v>
      </c>
    </row>
    <row r="34" spans="1:16">
      <c r="A34" s="325"/>
      <c r="B34" s="326"/>
      <c r="C34" s="361"/>
      <c r="D34" s="361"/>
      <c r="E34" s="361"/>
      <c r="F34" s="363"/>
      <c r="G34" s="7"/>
      <c r="H34" s="361"/>
      <c r="I34" s="363"/>
      <c r="J34" s="363"/>
      <c r="K34" s="363"/>
      <c r="L34" s="363"/>
      <c r="M34" s="363"/>
      <c r="N34" s="24"/>
      <c r="O34" s="24"/>
      <c r="P34" s="24"/>
    </row>
    <row r="35" spans="1:16">
      <c r="A35" s="309" t="s">
        <v>481</v>
      </c>
      <c r="B35" s="310"/>
      <c r="C35" s="365">
        <f>C29+C33</f>
        <v>88957</v>
      </c>
      <c r="D35" s="365">
        <f t="shared" ref="D35:L35" si="6">D29+D33</f>
        <v>63764</v>
      </c>
      <c r="E35" s="365">
        <f t="shared" si="6"/>
        <v>31522</v>
      </c>
      <c r="F35" s="365">
        <f t="shared" si="6"/>
        <v>46228</v>
      </c>
      <c r="G35" s="365">
        <f t="shared" si="6"/>
        <v>22015</v>
      </c>
      <c r="H35" s="365">
        <f t="shared" si="6"/>
        <v>-1936.0258596960339</v>
      </c>
      <c r="I35" s="365">
        <f t="shared" si="6"/>
        <v>-12084.390136322469</v>
      </c>
      <c r="J35" s="365">
        <f t="shared" si="6"/>
        <v>14369.175705245172</v>
      </c>
      <c r="K35" s="365">
        <f t="shared" si="6"/>
        <v>-122654</v>
      </c>
      <c r="L35" s="365">
        <f t="shared" si="6"/>
        <v>-28163</v>
      </c>
      <c r="M35" s="365">
        <v>28080.677914169384</v>
      </c>
      <c r="N35" s="8">
        <v>39923.036335421901</v>
      </c>
      <c r="O35" s="8">
        <v>56212.197720072669</v>
      </c>
      <c r="P35" s="8">
        <v>64834.428612485062</v>
      </c>
    </row>
    <row r="36" spans="1:16">
      <c r="A36" s="311" t="s">
        <v>7</v>
      </c>
      <c r="B36" s="311"/>
      <c r="C36" s="9">
        <v>0.33949166126016106</v>
      </c>
      <c r="D36" s="9">
        <v>0.20390442399077285</v>
      </c>
      <c r="E36" s="9">
        <v>7.2682277514483584E-2</v>
      </c>
      <c r="F36" s="9">
        <v>0.11181497364748337</v>
      </c>
      <c r="G36" s="9">
        <v>5.5412504121643218E-2</v>
      </c>
      <c r="H36" s="9">
        <v>-5.3647685992891832E-3</v>
      </c>
      <c r="I36" s="9">
        <v>-3.5533233747750505E-2</v>
      </c>
      <c r="J36" s="9">
        <v>4.7004761090305727E-2</v>
      </c>
      <c r="K36" s="9">
        <v>-0.38786939679026011</v>
      </c>
      <c r="L36" s="9">
        <v>-0.11513570748179733</v>
      </c>
      <c r="M36" s="9">
        <v>8.9314656653439725E-2</v>
      </c>
      <c r="N36" s="9">
        <v>0.11366584461727045</v>
      </c>
      <c r="O36" s="9">
        <v>0.16419665115733256</v>
      </c>
      <c r="P36" s="9">
        <v>0.16197268581518959</v>
      </c>
    </row>
    <row r="37" spans="1:16">
      <c r="A37" s="325"/>
      <c r="B37" s="326"/>
      <c r="C37" s="363"/>
      <c r="D37" s="363"/>
      <c r="E37" s="363"/>
      <c r="F37" s="363"/>
      <c r="G37" s="363"/>
      <c r="H37" s="371"/>
      <c r="I37" s="363"/>
      <c r="J37" s="363"/>
      <c r="K37" s="363"/>
      <c r="L37" s="363"/>
      <c r="M37" s="363"/>
      <c r="N37" s="24"/>
      <c r="O37" s="24"/>
      <c r="P37" s="24"/>
    </row>
    <row r="38" spans="1:16">
      <c r="A38" s="324" t="s">
        <v>3</v>
      </c>
      <c r="B38" s="315"/>
      <c r="C38" s="372">
        <v>-3147</v>
      </c>
      <c r="D38" s="373">
        <v>-5425</v>
      </c>
      <c r="E38" s="373">
        <v>-9599</v>
      </c>
      <c r="F38" s="23">
        <v>-13148.34042</v>
      </c>
      <c r="G38" s="23">
        <v>-14029</v>
      </c>
      <c r="H38" s="373">
        <v>-13423.999999999998</v>
      </c>
      <c r="I38" s="23">
        <v>-12145</v>
      </c>
      <c r="J38" s="23">
        <v>-11276</v>
      </c>
      <c r="K38" s="23">
        <v>-12236</v>
      </c>
      <c r="L38" s="23">
        <v>-11049</v>
      </c>
      <c r="M38" s="23">
        <v>-8871</v>
      </c>
      <c r="N38" s="23">
        <v>-9751</v>
      </c>
      <c r="O38" s="23">
        <v>-9580</v>
      </c>
      <c r="P38" s="23">
        <v>-10537</v>
      </c>
    </row>
    <row r="39" spans="1:16">
      <c r="A39" s="324" t="s">
        <v>482</v>
      </c>
      <c r="B39" s="315"/>
      <c r="C39" s="372">
        <v>7189</v>
      </c>
      <c r="D39" s="373">
        <v>11074</v>
      </c>
      <c r="E39" s="373">
        <v>13116</v>
      </c>
      <c r="F39" s="23">
        <v>16594.183259999998</v>
      </c>
      <c r="G39" s="23">
        <v>39829.427649999998</v>
      </c>
      <c r="H39" s="373">
        <v>60361.674559999999</v>
      </c>
      <c r="I39" s="23">
        <v>30370.459159999999</v>
      </c>
      <c r="J39" s="23">
        <v>70839.439969999978</v>
      </c>
      <c r="K39" s="23">
        <v>32650.937389999999</v>
      </c>
      <c r="L39" s="23">
        <v>51557</v>
      </c>
      <c r="M39" s="23">
        <v>7381.5167577351585</v>
      </c>
      <c r="N39" s="23">
        <v>16031.365390000003</v>
      </c>
      <c r="O39" s="23">
        <v>16007.603759999996</v>
      </c>
      <c r="P39" s="23">
        <v>30033.440440000006</v>
      </c>
    </row>
    <row r="40" spans="1:16">
      <c r="A40" s="324" t="s">
        <v>483</v>
      </c>
      <c r="B40" s="315"/>
      <c r="C40" s="372">
        <v>9403</v>
      </c>
      <c r="D40" s="372">
        <v>8960</v>
      </c>
      <c r="E40" s="372">
        <v>10648.179258574701</v>
      </c>
      <c r="F40" s="23">
        <v>14081.99249759946</v>
      </c>
      <c r="G40" s="23">
        <v>17594.58786</v>
      </c>
      <c r="H40" s="373">
        <v>18027.933370203027</v>
      </c>
      <c r="I40" s="23">
        <v>12260.450229373513</v>
      </c>
      <c r="J40" s="23">
        <v>12031.857803829414</v>
      </c>
      <c r="K40" s="23">
        <v>7687.4019227921626</v>
      </c>
      <c r="L40" s="23">
        <v>3071</v>
      </c>
      <c r="M40" s="23">
        <v>4864.4832422648415</v>
      </c>
      <c r="N40" s="23">
        <v>11121.449176155087</v>
      </c>
      <c r="O40" s="23">
        <v>14633.584358987637</v>
      </c>
      <c r="P40" s="23">
        <v>13369.902473635977</v>
      </c>
    </row>
    <row r="41" spans="1:16">
      <c r="A41" s="324" t="s">
        <v>474</v>
      </c>
      <c r="B41" s="315"/>
      <c r="C41" s="372">
        <v>-9288</v>
      </c>
      <c r="D41" s="372">
        <v>-3374</v>
      </c>
      <c r="E41" s="372">
        <v>-29310</v>
      </c>
      <c r="F41" s="23">
        <v>-40568.457139999999</v>
      </c>
      <c r="G41" s="23">
        <v>-58735.880399999995</v>
      </c>
      <c r="H41" s="373">
        <v>-86070.56035</v>
      </c>
      <c r="I41" s="23">
        <v>-45898.370999999999</v>
      </c>
      <c r="J41" s="23">
        <v>-78624.831690000006</v>
      </c>
      <c r="K41" s="23">
        <v>-45516.928039999999</v>
      </c>
      <c r="L41" s="23">
        <v>-78936</v>
      </c>
      <c r="M41" s="23">
        <v>-27277</v>
      </c>
      <c r="N41" s="23">
        <v>-37122.594119999994</v>
      </c>
      <c r="O41" s="23">
        <v>-27125.163770000003</v>
      </c>
      <c r="P41" s="23">
        <v>-25067.360719999997</v>
      </c>
    </row>
    <row r="42" spans="1:16">
      <c r="A42" s="324" t="s">
        <v>484</v>
      </c>
      <c r="B42" s="315"/>
      <c r="C42" s="373">
        <v>-2070</v>
      </c>
      <c r="D42" s="374">
        <v>-6459</v>
      </c>
      <c r="E42" s="374">
        <v>-7106.2640999999985</v>
      </c>
      <c r="F42" s="23">
        <v>-7079.9619980000007</v>
      </c>
      <c r="G42" s="23">
        <v>-7222.3714499999996</v>
      </c>
      <c r="H42" s="373">
        <v>178.67804999999998</v>
      </c>
      <c r="I42" s="23">
        <v>0</v>
      </c>
      <c r="J42" s="23">
        <v>0</v>
      </c>
      <c r="K42" s="23">
        <v>-7.1155999999999997</v>
      </c>
      <c r="L42" s="23">
        <v>-1892</v>
      </c>
      <c r="M42" s="23">
        <v>-1567.9252200000001</v>
      </c>
      <c r="N42" s="23">
        <v>-6822.4998500000002</v>
      </c>
      <c r="O42" s="23">
        <v>-2620.7553816129998</v>
      </c>
      <c r="P42" s="23">
        <v>-11520.847135410999</v>
      </c>
    </row>
    <row r="43" spans="1:16">
      <c r="A43" s="324" t="s">
        <v>485</v>
      </c>
      <c r="B43" s="315"/>
      <c r="C43" s="372">
        <v>-10855</v>
      </c>
      <c r="D43" s="372">
        <v>-11196</v>
      </c>
      <c r="E43" s="372">
        <v>-4178</v>
      </c>
      <c r="F43" s="23">
        <v>-1908.3374199999998</v>
      </c>
      <c r="G43" s="23">
        <v>-1818.1681300000002</v>
      </c>
      <c r="H43" s="373">
        <v>-3969.3795699999991</v>
      </c>
      <c r="I43" s="23">
        <v>3187.1885900000002</v>
      </c>
      <c r="J43" s="23">
        <v>13022.907749999993</v>
      </c>
      <c r="K43" s="23">
        <v>9172.2312099999999</v>
      </c>
      <c r="L43" s="23">
        <v>7653</v>
      </c>
      <c r="M43" s="23">
        <v>-5967.9754800000001</v>
      </c>
      <c r="N43" s="23">
        <v>1115.0376599999995</v>
      </c>
      <c r="O43" s="23">
        <v>-6397.8176800000001</v>
      </c>
      <c r="P43" s="23">
        <v>-8747.6322700000019</v>
      </c>
    </row>
    <row r="44" spans="1:16">
      <c r="A44" s="309" t="s">
        <v>54</v>
      </c>
      <c r="B44" s="310"/>
      <c r="C44" s="365">
        <f>C35-SUM(C38:C43)</f>
        <v>97725</v>
      </c>
      <c r="D44" s="365">
        <f t="shared" ref="D44:L44" si="7">D35-SUM(D38:D43)</f>
        <v>70184</v>
      </c>
      <c r="E44" s="365">
        <f t="shared" si="7"/>
        <v>57951.084841425298</v>
      </c>
      <c r="F44" s="365">
        <f t="shared" si="7"/>
        <v>78256.921220400545</v>
      </c>
      <c r="G44" s="365">
        <f t="shared" si="7"/>
        <v>46396.404469999994</v>
      </c>
      <c r="H44" s="365">
        <f t="shared" si="7"/>
        <v>22959.628080100942</v>
      </c>
      <c r="I44" s="365">
        <f t="shared" si="7"/>
        <v>140.88288430401917</v>
      </c>
      <c r="J44" s="365">
        <f t="shared" si="7"/>
        <v>8375.8018714157861</v>
      </c>
      <c r="K44" s="365">
        <f t="shared" si="7"/>
        <v>-114404.52688279217</v>
      </c>
      <c r="L44" s="365">
        <f t="shared" si="7"/>
        <v>1433</v>
      </c>
      <c r="M44" s="365">
        <v>59518.578614169382</v>
      </c>
      <c r="N44" s="8">
        <v>65351.278079266805</v>
      </c>
      <c r="O44" s="8">
        <v>71294.746432698041</v>
      </c>
      <c r="P44" s="8">
        <v>77303.925824260077</v>
      </c>
    </row>
    <row r="45" spans="1:16">
      <c r="A45" s="341" t="s">
        <v>486</v>
      </c>
      <c r="B45" s="344"/>
      <c r="C45" s="375">
        <v>22621</v>
      </c>
      <c r="D45" s="375">
        <v>1706.677077851524</v>
      </c>
      <c r="E45" s="375">
        <v>-799.577</v>
      </c>
      <c r="F45" s="23">
        <v>-1206.526360097015</v>
      </c>
      <c r="G45" s="23">
        <v>-63.302908076515223</v>
      </c>
      <c r="H45" s="375">
        <v>-1883.306</v>
      </c>
      <c r="I45" s="23">
        <v>-2125.4444765631001</v>
      </c>
      <c r="J45" s="23">
        <v>-963.05533319572203</v>
      </c>
      <c r="K45" s="23">
        <v>-9653.600019999998</v>
      </c>
      <c r="L45" s="23">
        <v>1612</v>
      </c>
      <c r="M45" s="23">
        <v>-2857</v>
      </c>
      <c r="N45" s="23">
        <v>-3656</v>
      </c>
      <c r="O45" s="23">
        <v>-2805.5360900000001</v>
      </c>
      <c r="P45" s="23">
        <v>-1784.0140200000001</v>
      </c>
    </row>
    <row r="46" spans="1:16">
      <c r="A46" s="342" t="s">
        <v>487</v>
      </c>
      <c r="B46" s="343"/>
      <c r="C46" s="375">
        <v>7150</v>
      </c>
      <c r="D46" s="375">
        <v>-1159.8243400000001</v>
      </c>
      <c r="E46" s="375">
        <v>-11678.14939</v>
      </c>
      <c r="F46" s="23">
        <v>1037.0412756000001</v>
      </c>
      <c r="G46" s="23">
        <v>-19758.476630000001</v>
      </c>
      <c r="H46" s="375">
        <v>-1616.67</v>
      </c>
      <c r="I46" s="23">
        <v>-6900</v>
      </c>
      <c r="J46" s="23">
        <v>-19498</v>
      </c>
      <c r="K46" s="23">
        <v>-1528</v>
      </c>
      <c r="L46" s="23">
        <v>-2639</v>
      </c>
      <c r="M46" s="23">
        <v>4568</v>
      </c>
      <c r="N46" s="23">
        <v>0</v>
      </c>
      <c r="O46" s="23">
        <v>1653</v>
      </c>
      <c r="P46" s="23">
        <v>0</v>
      </c>
    </row>
    <row r="47" spans="1:16">
      <c r="A47" s="342" t="s">
        <v>488</v>
      </c>
      <c r="B47" s="343"/>
      <c r="C47" s="372">
        <v>0</v>
      </c>
      <c r="D47" s="375">
        <v>0</v>
      </c>
      <c r="E47" s="372">
        <v>-743.67</v>
      </c>
      <c r="F47" s="23">
        <v>-1509.1870000000001</v>
      </c>
      <c r="G47" s="23">
        <v>5375.1013999999996</v>
      </c>
      <c r="H47" s="375">
        <v>0</v>
      </c>
      <c r="I47" s="23"/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</row>
    <row r="48" spans="1:16">
      <c r="A48" s="342" t="s">
        <v>489</v>
      </c>
      <c r="B48" s="343"/>
      <c r="C48" s="372">
        <v>0</v>
      </c>
      <c r="D48" s="375">
        <v>0</v>
      </c>
      <c r="E48" s="372">
        <v>-4554.58554</v>
      </c>
      <c r="F48" s="23">
        <v>-2635.1899100000001</v>
      </c>
      <c r="G48" s="23">
        <v>-771.45402000000001</v>
      </c>
      <c r="H48" s="375">
        <v>-78.071079999999995</v>
      </c>
      <c r="I48" s="23">
        <v>-131.54944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</row>
    <row r="49" spans="1:16">
      <c r="A49" s="324" t="s">
        <v>490</v>
      </c>
      <c r="B49" s="315"/>
      <c r="C49" s="372">
        <v>-877</v>
      </c>
      <c r="D49" s="375">
        <v>0</v>
      </c>
      <c r="E49" s="372">
        <v>0</v>
      </c>
      <c r="F49" s="23">
        <v>0</v>
      </c>
      <c r="G49" s="23">
        <v>0</v>
      </c>
      <c r="H49" s="375"/>
      <c r="I49" s="23">
        <v>-2037.0375099999999</v>
      </c>
      <c r="J49" s="23">
        <v>-1203.26125</v>
      </c>
      <c r="K49" s="23">
        <v>-1402.3747800000001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</row>
    <row r="50" spans="1:16">
      <c r="A50" s="342" t="s">
        <v>491</v>
      </c>
      <c r="B50" s="343"/>
      <c r="C50" s="372">
        <v>-9892</v>
      </c>
      <c r="D50" s="375">
        <v>-2424.9584500000001</v>
      </c>
      <c r="E50" s="372">
        <v>-6241.5990000000002</v>
      </c>
      <c r="F50" s="23">
        <v>-3830.0338200000001</v>
      </c>
      <c r="G50" s="23">
        <v>-4099.9849999999997</v>
      </c>
      <c r="H50" s="375">
        <v>-2997.5649900000003</v>
      </c>
      <c r="I50" s="23">
        <v>-10679.379724250022</v>
      </c>
      <c r="J50" s="23">
        <v>-6287.0451438294149</v>
      </c>
      <c r="K50" s="23">
        <v>-6409.1697784806711</v>
      </c>
      <c r="L50" s="23">
        <v>-3545</v>
      </c>
      <c r="M50" s="23">
        <v>-5372.8296697964197</v>
      </c>
      <c r="N50" s="23">
        <v>-13408.097259245656</v>
      </c>
      <c r="O50" s="23">
        <v>-14275.349873184568</v>
      </c>
      <c r="P50" s="23">
        <v>-14093.200687363358</v>
      </c>
    </row>
    <row r="51" spans="1:16">
      <c r="A51" s="342" t="s">
        <v>492</v>
      </c>
      <c r="B51" s="345"/>
      <c r="C51" s="376">
        <v>0</v>
      </c>
      <c r="D51" s="376">
        <v>-8482.2513770875557</v>
      </c>
      <c r="E51" s="376">
        <v>-12648.48400233217</v>
      </c>
      <c r="F51" s="23">
        <v>-15161.074877599462</v>
      </c>
      <c r="G51" s="23">
        <v>-18342.442920000001</v>
      </c>
      <c r="H51" s="377">
        <v>-16796.437820203028</v>
      </c>
      <c r="I51" s="335"/>
      <c r="J51" s="335">
        <v>28336.202229999999</v>
      </c>
      <c r="K51" s="335">
        <v>-110584.390763918</v>
      </c>
      <c r="L51" s="335">
        <v>0</v>
      </c>
      <c r="M51" s="335">
        <v>0</v>
      </c>
      <c r="N51" s="23">
        <v>0</v>
      </c>
      <c r="O51" s="23">
        <v>0</v>
      </c>
      <c r="P51" s="23">
        <v>0</v>
      </c>
    </row>
    <row r="52" spans="1:16" ht="15" thickBot="1">
      <c r="A52" s="313" t="s">
        <v>493</v>
      </c>
      <c r="B52" s="314"/>
      <c r="C52" s="378">
        <f>C44-SUM(C45:C51)</f>
        <v>78723</v>
      </c>
      <c r="D52" s="378">
        <f>D44-SUM(D45:D51)</f>
        <v>80544.357089236029</v>
      </c>
      <c r="E52" s="378">
        <f t="shared" ref="E52:G52" si="8">E44-SUM(E45:E51)</f>
        <v>94617.149773757468</v>
      </c>
      <c r="F52" s="378">
        <f>F44-SUM(F45:F51)</f>
        <v>101561.89191249703</v>
      </c>
      <c r="G52" s="378">
        <f t="shared" si="8"/>
        <v>84056.964548076503</v>
      </c>
      <c r="H52" s="378">
        <f>H44-SUM(H45:H51)</f>
        <v>46331.677970303972</v>
      </c>
      <c r="I52" s="378">
        <f t="shared" ref="I52:L52" si="9">I44-SUM(I45:I51)</f>
        <v>22014.294035117142</v>
      </c>
      <c r="J52" s="378">
        <f t="shared" si="9"/>
        <v>7990.9613684409251</v>
      </c>
      <c r="K52" s="378">
        <f t="shared" si="9"/>
        <v>15173.008459606499</v>
      </c>
      <c r="L52" s="378">
        <f t="shared" si="9"/>
        <v>6005</v>
      </c>
      <c r="M52" s="380">
        <v>63180.4082839658</v>
      </c>
      <c r="N52" s="94">
        <v>82415.375338512458</v>
      </c>
      <c r="O52" s="94">
        <v>86722.632395882611</v>
      </c>
      <c r="P52" s="94">
        <v>93181.14053162343</v>
      </c>
    </row>
    <row r="53" spans="1:16">
      <c r="A53" s="311" t="s">
        <v>494</v>
      </c>
      <c r="B53" s="311"/>
      <c r="C53" s="9">
        <f>C52/C8</f>
        <v>0.30043506468724956</v>
      </c>
      <c r="D53" s="9">
        <f t="shared" ref="D53:L53" si="10">D52/D8</f>
        <v>0.25756462483513887</v>
      </c>
      <c r="E53" s="9">
        <f t="shared" si="10"/>
        <v>0.21816477182557248</v>
      </c>
      <c r="F53" s="9">
        <f t="shared" si="10"/>
        <v>0.24565502006975018</v>
      </c>
      <c r="G53" s="9">
        <f t="shared" si="10"/>
        <v>0.21157424003965966</v>
      </c>
      <c r="H53" s="9">
        <f t="shared" si="10"/>
        <v>0.12838777434269893</v>
      </c>
      <c r="I53" s="9">
        <f t="shared" si="10"/>
        <v>6.4733453801847654E-2</v>
      </c>
      <c r="J53" s="9">
        <f t="shared" si="10"/>
        <v>2.6140207184488555E-2</v>
      </c>
      <c r="K53" s="9">
        <f t="shared" si="10"/>
        <v>4.7981491790271676E-2</v>
      </c>
      <c r="L53" s="9">
        <f t="shared" si="10"/>
        <v>2.4549545227983059E-2</v>
      </c>
      <c r="M53" s="9">
        <v>0.20095442461733248</v>
      </c>
      <c r="N53" s="9">
        <f>N52/N8</f>
        <v>0.2346468131480707</v>
      </c>
      <c r="O53" s="9">
        <v>0.25331807679648072</v>
      </c>
      <c r="P53" s="9">
        <v>0.23278989145472739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9</vt:i4>
      </vt:variant>
    </vt:vector>
  </HeadingPairs>
  <TitlesOfParts>
    <vt:vector size="17" baseType="lpstr">
      <vt:lpstr>BP Price</vt:lpstr>
      <vt:lpstr>DRE Price</vt:lpstr>
      <vt:lpstr>Planilha Hélio</vt:lpstr>
      <vt:lpstr>DRE</vt:lpstr>
      <vt:lpstr>DFC Price</vt:lpstr>
      <vt:lpstr>Balanço Patrimonial</vt:lpstr>
      <vt:lpstr>Fluxo de caixa</vt:lpstr>
      <vt:lpstr>DRE Histórico</vt:lpstr>
      <vt:lpstr>'BP Price'!_GoBack</vt:lpstr>
      <vt:lpstr>'Balanço Patrimonial'!Area_de_impressao</vt:lpstr>
      <vt:lpstr>DRE!Area_de_impressao</vt:lpstr>
      <vt:lpstr>'Fluxo de caixa'!Area_de_impressao</vt:lpstr>
      <vt:lpstr>'Planilha Hélio'!Area_de_impressao</vt:lpstr>
      <vt:lpstr>ATIVO</vt:lpstr>
      <vt:lpstr>DRE</vt:lpstr>
      <vt:lpstr>PASSIVO</vt:lpstr>
      <vt:lpstr>'Fluxo de caixa'!Titulos_de_impressao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giovana</dc:creator>
  <cp:lastModifiedBy>Danielle Gonçalves Barbosa</cp:lastModifiedBy>
  <cp:lastPrinted>2022-08-02T01:54:45Z</cp:lastPrinted>
  <dcterms:created xsi:type="dcterms:W3CDTF">2012-03-29T12:17:55Z</dcterms:created>
  <dcterms:modified xsi:type="dcterms:W3CDTF">2025-11-10T21:26:55Z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ee4297-1e16-445a-8601-c9f1c2b11fdb_Enabled">
    <vt:lpwstr>true</vt:lpwstr>
  </property>
  <property fmtid="{D5CDD505-2E9C-101B-9397-08002B2CF9AE}" pid="3" name="MSIP_Label_b8ee4297-1e16-445a-8601-c9f1c2b11fdb_SetDate">
    <vt:lpwstr>2023-03-01T23:28:49Z</vt:lpwstr>
  </property>
  <property fmtid="{D5CDD505-2E9C-101B-9397-08002B2CF9AE}" pid="4" name="MSIP_Label_b8ee4297-1e16-445a-8601-c9f1c2b11fdb_Method">
    <vt:lpwstr>Standard</vt:lpwstr>
  </property>
  <property fmtid="{D5CDD505-2E9C-101B-9397-08002B2CF9AE}" pid="5" name="MSIP_Label_b8ee4297-1e16-445a-8601-c9f1c2b11fdb_Name">
    <vt:lpwstr>Pública</vt:lpwstr>
  </property>
  <property fmtid="{D5CDD505-2E9C-101B-9397-08002B2CF9AE}" pid="6" name="MSIP_Label_b8ee4297-1e16-445a-8601-c9f1c2b11fdb_SiteId">
    <vt:lpwstr>1d8da5ad-b1a2-4f70-90b9-da2dfd7fc9e9</vt:lpwstr>
  </property>
  <property fmtid="{D5CDD505-2E9C-101B-9397-08002B2CF9AE}" pid="7" name="MSIP_Label_b8ee4297-1e16-445a-8601-c9f1c2b11fdb_ActionId">
    <vt:lpwstr>894c0d8c-0f50-44c3-bdd7-46d083b28a45</vt:lpwstr>
  </property>
  <property fmtid="{D5CDD505-2E9C-101B-9397-08002B2CF9AE}" pid="8" name="MSIP_Label_b8ee4297-1e16-445a-8601-c9f1c2b11fdb_ContentBits">
    <vt:lpwstr>0</vt:lpwstr>
  </property>
</Properties>
</file>