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2T24\PACOTE DIVULGAÇÃO\"/>
    </mc:Choice>
  </mc:AlternateContent>
  <xr:revisionPtr revIDLastSave="0" documentId="8_{6B68FB80-3237-4AAB-9E77-976D48D7F0B2}" xr6:coauthVersionLast="47" xr6:coauthVersionMax="47" xr10:uidLastSave="{00000000-0000-0000-0000-000000000000}"/>
  <bookViews>
    <workbookView xWindow="-110" yWindow="-110" windowWidth="19420" windowHeight="1030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ço Patrimonial" sheetId="3" r:id="rId6"/>
    <sheet name="Cash Flow" sheetId="12" r:id="rId7"/>
    <sheet name="Income Statement Hist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6">'Cash Flow'!$A$2:$V$77</definedName>
    <definedName name="_xlnm.Print_Area" localSheetId="3">'Income Statement'!$A$2:$AH$53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'Cash Flow'!$2:$2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2" l="1"/>
  <c r="K47" i="12"/>
  <c r="K23" i="12" l="1"/>
  <c r="K36" i="12" s="1"/>
  <c r="S22" i="12" l="1"/>
  <c r="E65" i="3" l="1"/>
  <c r="E67" i="3" s="1"/>
  <c r="E54" i="3"/>
  <c r="E26" i="3"/>
  <c r="W52" i="1" l="1"/>
  <c r="S63" i="12" l="1"/>
  <c r="S59" i="12" l="1"/>
  <c r="S58" i="12"/>
  <c r="S57" i="12"/>
  <c r="S56" i="12"/>
  <c r="S55" i="12"/>
  <c r="S54" i="12"/>
  <c r="S53" i="12"/>
  <c r="S52" i="12"/>
  <c r="S51" i="12"/>
  <c r="S50" i="12"/>
  <c r="S49" i="12"/>
  <c r="S48" i="12"/>
  <c r="S46" i="12"/>
  <c r="S45" i="12"/>
  <c r="S44" i="12"/>
  <c r="S43" i="12"/>
  <c r="S42" i="12"/>
  <c r="S41" i="12"/>
  <c r="S40" i="12"/>
  <c r="S39" i="12"/>
  <c r="S38" i="12"/>
  <c r="S37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L58" i="12" l="1"/>
  <c r="L56" i="12"/>
  <c r="L54" i="12"/>
  <c r="L51" i="12"/>
  <c r="L50" i="12"/>
  <c r="L48" i="12"/>
  <c r="L46" i="12"/>
  <c r="L41" i="12"/>
  <c r="L40" i="12"/>
  <c r="L39" i="12"/>
  <c r="L38" i="12"/>
  <c r="L37" i="12"/>
  <c r="L35" i="12"/>
  <c r="L25" i="12"/>
  <c r="L24" i="12"/>
  <c r="L21" i="12"/>
  <c r="L16" i="12"/>
  <c r="L15" i="12"/>
  <c r="L7" i="12"/>
  <c r="L5" i="12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3" i="1"/>
  <c r="AE9" i="1"/>
  <c r="AE6" i="1"/>
  <c r="AE5" i="1"/>
  <c r="AE4" i="1"/>
  <c r="AE3" i="1"/>
  <c r="L59" i="12"/>
  <c r="L57" i="12"/>
  <c r="L55" i="12"/>
  <c r="L53" i="12"/>
  <c r="L52" i="12"/>
  <c r="L49" i="12"/>
  <c r="L45" i="12"/>
  <c r="L44" i="12"/>
  <c r="L42" i="12"/>
  <c r="L13" i="12"/>
  <c r="L6" i="12"/>
  <c r="L4" i="12"/>
  <c r="L63" i="12"/>
  <c r="L18" i="12" l="1"/>
  <c r="L9" i="12"/>
  <c r="L19" i="12"/>
  <c r="L11" i="12"/>
  <c r="L22" i="12"/>
  <c r="L12" i="12"/>
  <c r="L26" i="12"/>
  <c r="L34" i="12"/>
  <c r="L28" i="12"/>
  <c r="L43" i="12"/>
  <c r="L29" i="12"/>
  <c r="L31" i="12"/>
  <c r="L17" i="12"/>
  <c r="L20" i="12"/>
  <c r="L32" i="12"/>
  <c r="L8" i="12"/>
  <c r="L33" i="12"/>
  <c r="L60" i="12"/>
  <c r="AF51" i="1"/>
  <c r="AF49" i="1"/>
  <c r="AF48" i="1"/>
  <c r="AF47" i="1"/>
  <c r="AF46" i="1"/>
  <c r="X14" i="1"/>
  <c r="L47" i="12" l="1"/>
  <c r="X32" i="1"/>
  <c r="X31" i="1"/>
  <c r="X26" i="1"/>
  <c r="X25" i="1"/>
  <c r="X21" i="1"/>
  <c r="X18" i="1"/>
  <c r="X13" i="1"/>
  <c r="V14" i="1" l="1"/>
  <c r="U14" i="1"/>
  <c r="AE14" i="1" l="1"/>
  <c r="X33" i="1" l="1"/>
  <c r="U33" i="1" l="1"/>
  <c r="X27" i="1" l="1"/>
  <c r="V13" i="1"/>
  <c r="U13" i="1"/>
  <c r="V18" i="1"/>
  <c r="U18" i="1"/>
  <c r="V21" i="1"/>
  <c r="U21" i="1"/>
  <c r="P52" i="1"/>
  <c r="P43" i="1" l="1"/>
  <c r="P42" i="1"/>
  <c r="P8" i="1"/>
  <c r="F65" i="3" l="1"/>
  <c r="F26" i="3"/>
  <c r="U44" i="1" l="1"/>
  <c r="C60" i="12"/>
  <c r="C61" i="12" s="1"/>
  <c r="C65" i="12" s="1"/>
  <c r="AA52" i="1"/>
  <c r="AA53" i="1" s="1"/>
  <c r="AA44" i="1"/>
  <c r="AA35" i="1"/>
  <c r="AA36" i="1" s="1"/>
  <c r="AA33" i="1"/>
  <c r="AA23" i="1"/>
  <c r="AA11" i="1"/>
  <c r="AA10" i="1"/>
  <c r="AA8" i="1"/>
  <c r="W33" i="1"/>
  <c r="W27" i="1"/>
  <c r="W10" i="1"/>
  <c r="W23" i="1" s="1"/>
  <c r="W29" i="1" s="1"/>
  <c r="W35" i="1" s="1"/>
  <c r="W44" i="1" s="1"/>
  <c r="W53" i="1" s="1"/>
  <c r="W8" i="1"/>
  <c r="O10" i="1"/>
  <c r="W11" i="1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27" i="1" l="1"/>
  <c r="W36" i="1" l="1"/>
  <c r="W19" i="1"/>
  <c r="W16" i="1"/>
  <c r="AF33" i="1" l="1"/>
  <c r="G63" i="12" l="1"/>
  <c r="G60" i="12"/>
  <c r="G61" i="12" s="1"/>
  <c r="S47" i="12"/>
  <c r="S60" i="12"/>
  <c r="G65" i="12" l="1"/>
  <c r="T60" i="12"/>
  <c r="V8" i="1"/>
  <c r="U8" i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28" i="12" l="1"/>
  <c r="R32" i="12"/>
  <c r="R52" i="12"/>
  <c r="Q14" i="12"/>
  <c r="Q18" i="12"/>
  <c r="R18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Q49" i="12"/>
  <c r="P60" i="12"/>
  <c r="R49" i="12"/>
  <c r="R54" i="12"/>
  <c r="Q54" i="12"/>
  <c r="Q59" i="12"/>
  <c r="R59" i="12"/>
  <c r="R4" i="12"/>
  <c r="Q4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49" i="1" l="1"/>
  <c r="Y49" i="1"/>
  <c r="Z48" i="1"/>
  <c r="Y48" i="1"/>
  <c r="Z47" i="1"/>
  <c r="Y47" i="1"/>
  <c r="Z46" i="1"/>
  <c r="Y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N42" i="12"/>
  <c r="N38" i="12"/>
  <c r="N41" i="12"/>
  <c r="G5" i="3"/>
  <c r="H5" i="3"/>
  <c r="R47" i="12" l="1"/>
  <c r="Q47" i="12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58" i="12" l="1"/>
  <c r="U58" i="12"/>
  <c r="V51" i="12"/>
  <c r="U51" i="12"/>
  <c r="V46" i="12"/>
  <c r="U46" i="12"/>
  <c r="V42" i="12"/>
  <c r="U42" i="12"/>
  <c r="V40" i="12"/>
  <c r="U40" i="12"/>
  <c r="V39" i="12"/>
  <c r="U39" i="12"/>
  <c r="V21" i="12"/>
  <c r="U21" i="12"/>
  <c r="V5" i="12"/>
  <c r="U5" i="12"/>
  <c r="V49" i="12" l="1"/>
  <c r="U49" i="12"/>
  <c r="V57" i="12"/>
  <c r="U57" i="12"/>
  <c r="U50" i="12"/>
  <c r="V50" i="12"/>
  <c r="U52" i="12"/>
  <c r="V52" i="12"/>
  <c r="U53" i="12"/>
  <c r="V53" i="12"/>
  <c r="U56" i="12"/>
  <c r="V56" i="12"/>
  <c r="U54" i="12"/>
  <c r="V54" i="12"/>
  <c r="V55" i="12"/>
  <c r="U55" i="12"/>
  <c r="V9" i="12" l="1"/>
  <c r="U9" i="12"/>
  <c r="V20" i="12"/>
  <c r="U20" i="12"/>
  <c r="U32" i="12"/>
  <c r="V32" i="12"/>
  <c r="V41" i="12"/>
  <c r="U41" i="12"/>
  <c r="U17" i="12"/>
  <c r="V17" i="12"/>
  <c r="V33" i="12"/>
  <c r="U33" i="12"/>
  <c r="U13" i="12"/>
  <c r="V13" i="12"/>
  <c r="U43" i="12"/>
  <c r="V43" i="12"/>
  <c r="U29" i="12"/>
  <c r="V29" i="12"/>
  <c r="U6" i="12"/>
  <c r="V6" i="12"/>
  <c r="V18" i="12"/>
  <c r="U18" i="12"/>
  <c r="U26" i="12"/>
  <c r="V26" i="12"/>
  <c r="V34" i="12"/>
  <c r="U34" i="12"/>
  <c r="V22" i="12"/>
  <c r="U22" i="12"/>
  <c r="V14" i="12"/>
  <c r="U14" i="12"/>
  <c r="V35" i="12"/>
  <c r="U35" i="12"/>
  <c r="U44" i="12"/>
  <c r="V44" i="12"/>
  <c r="U8" i="12"/>
  <c r="V8" i="12"/>
  <c r="U19" i="12"/>
  <c r="V19" i="12"/>
  <c r="V31" i="12"/>
  <c r="U31" i="12"/>
  <c r="V15" i="12"/>
  <c r="U15" i="12"/>
  <c r="U38" i="12"/>
  <c r="V38" i="12"/>
  <c r="V45" i="12"/>
  <c r="U45" i="12"/>
  <c r="T47" i="12" l="1"/>
  <c r="V47" i="12" l="1"/>
  <c r="U47" i="12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I68" i="12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17" i="3" l="1"/>
  <c r="G24" i="3"/>
  <c r="G25" i="3"/>
  <c r="G56" i="3"/>
  <c r="H56" i="3"/>
  <c r="G58" i="3"/>
  <c r="H58" i="3"/>
  <c r="G59" i="3"/>
  <c r="H59" i="3"/>
  <c r="G60" i="3"/>
  <c r="H60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U60" i="12" l="1"/>
  <c r="V60" i="12"/>
  <c r="J73" i="12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V4" i="12" l="1"/>
  <c r="U4" i="12"/>
  <c r="V16" i="12" l="1"/>
  <c r="U16" i="12"/>
  <c r="V12" i="12"/>
  <c r="U12" i="12"/>
  <c r="V11" i="12"/>
  <c r="U11" i="12"/>
  <c r="V7" i="12"/>
  <c r="U7" i="12"/>
  <c r="AH47" i="1" l="1"/>
  <c r="AH49" i="1"/>
  <c r="AH48" i="1"/>
  <c r="AG48" i="1"/>
  <c r="AG51" i="1"/>
  <c r="AH46" i="1"/>
  <c r="AG46" i="1"/>
  <c r="AG49" i="1" l="1"/>
  <c r="AG47" i="1"/>
  <c r="AH51" i="1"/>
  <c r="AC14" i="1" l="1"/>
  <c r="V63" i="12" l="1"/>
  <c r="U63" i="12"/>
  <c r="T75" i="12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O52" i="1" l="1"/>
  <c r="Q44" i="1"/>
  <c r="R44" i="1"/>
  <c r="O53" i="1" l="1"/>
  <c r="R53" i="1" s="1"/>
  <c r="Q52" i="1"/>
  <c r="R52" i="1"/>
  <c r="V33" i="1" l="1"/>
  <c r="Y25" i="1"/>
  <c r="Z25" i="1"/>
  <c r="U10" i="1"/>
  <c r="V10" i="1"/>
  <c r="Y32" i="1"/>
  <c r="Z32" i="1"/>
  <c r="Y26" i="1" l="1"/>
  <c r="Z26" i="1"/>
  <c r="Z31" i="1"/>
  <c r="U35" i="1"/>
  <c r="V35" i="1"/>
  <c r="V44" i="1" l="1"/>
  <c r="Y33" i="1"/>
  <c r="Z33" i="1"/>
  <c r="U52" i="1" l="1"/>
  <c r="V52" i="1"/>
  <c r="Z21" i="1" l="1"/>
  <c r="Y21" i="1"/>
  <c r="Y27" i="1" l="1"/>
  <c r="Z27" i="1"/>
  <c r="Y18" i="1" l="1"/>
  <c r="AG14" i="1"/>
  <c r="Z14" i="1"/>
  <c r="Y13" i="1"/>
  <c r="Y14" i="1" l="1"/>
  <c r="Z18" i="1"/>
  <c r="Z13" i="1"/>
  <c r="AA16" i="1" l="1"/>
  <c r="AD16" i="1" s="1"/>
  <c r="AD13" i="1"/>
  <c r="AC13" i="1"/>
  <c r="AH13" i="1"/>
  <c r="AG13" i="1" l="1"/>
  <c r="AE16" i="1"/>
  <c r="AD19" i="1"/>
  <c r="AA19" i="1"/>
  <c r="AD18" i="1"/>
  <c r="AC18" i="1"/>
  <c r="AH18" i="1"/>
  <c r="AE19" i="1" l="1"/>
  <c r="AG18" i="1"/>
  <c r="AC21" i="1"/>
  <c r="AD21" i="1"/>
  <c r="AH21" i="1"/>
  <c r="AE23" i="1" l="1"/>
  <c r="AE29" i="1" s="1"/>
  <c r="AE35" i="1" s="1"/>
  <c r="AE44" i="1" s="1"/>
  <c r="AG21" i="1"/>
  <c r="AC27" i="1" l="1"/>
  <c r="AD27" i="1"/>
  <c r="AC25" i="1"/>
  <c r="AD25" i="1"/>
  <c r="AG25" i="1"/>
  <c r="AD26" i="1"/>
  <c r="AG26" i="1"/>
  <c r="AC26" i="1"/>
  <c r="AG27" i="1" l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E36" i="1"/>
  <c r="AE52" i="1" l="1"/>
  <c r="AE53" i="1" l="1"/>
  <c r="U28" i="12" l="1"/>
  <c r="S36" i="12" l="1"/>
  <c r="V28" i="12"/>
  <c r="S61" i="12" l="1"/>
  <c r="S65" i="12" l="1"/>
  <c r="Z42" i="1" l="1"/>
  <c r="AF42" i="1"/>
  <c r="AF41" i="1"/>
  <c r="AH42" i="1" l="1"/>
  <c r="AG42" i="1"/>
  <c r="AH41" i="1"/>
  <c r="AG41" i="1"/>
  <c r="Z41" i="1"/>
  <c r="Y41" i="1"/>
  <c r="AF40" i="1"/>
  <c r="AH40" i="1" l="1"/>
  <c r="AG40" i="1"/>
  <c r="Z40" i="1"/>
  <c r="Y40" i="1"/>
  <c r="AF39" i="1" l="1"/>
  <c r="Z39" i="1"/>
  <c r="Y39" i="1"/>
  <c r="AG39" i="1" l="1"/>
  <c r="AH39" i="1"/>
  <c r="AF38" i="1" l="1"/>
  <c r="Z38" i="1"/>
  <c r="Y38" i="1"/>
  <c r="AG38" i="1" l="1"/>
  <c r="AH38" i="1"/>
  <c r="AF9" i="1" l="1"/>
  <c r="AF6" i="1" l="1"/>
  <c r="Y6" i="1"/>
  <c r="Z6" i="1"/>
  <c r="AF4" i="1" l="1"/>
  <c r="AG6" i="1"/>
  <c r="AF5" i="1"/>
  <c r="AH6" i="1"/>
  <c r="Z5" i="1"/>
  <c r="Y5" i="1"/>
  <c r="Z4" i="1"/>
  <c r="Y4" i="1"/>
  <c r="AG5" i="1" l="1"/>
  <c r="AH5" i="1"/>
  <c r="AH4" i="1"/>
  <c r="AF3" i="1"/>
  <c r="AG4" i="1"/>
  <c r="X8" i="1"/>
  <c r="Y3" i="1"/>
  <c r="Z3" i="1"/>
  <c r="AG3" i="1" l="1"/>
  <c r="AH3" i="1"/>
  <c r="AF8" i="1"/>
  <c r="AF16" i="1"/>
  <c r="AH16" i="1" s="1"/>
  <c r="X10" i="1"/>
  <c r="X16" i="1"/>
  <c r="Z16" i="1" s="1"/>
  <c r="X19" i="1"/>
  <c r="Z19" i="1" s="1"/>
  <c r="Y8" i="1"/>
  <c r="Z8" i="1"/>
  <c r="AH8" i="1" l="1"/>
  <c r="AF19" i="1"/>
  <c r="AH19" i="1" s="1"/>
  <c r="AF10" i="1"/>
  <c r="AG8" i="1"/>
  <c r="AF50" i="1"/>
  <c r="Z50" i="1"/>
  <c r="Y50" i="1"/>
  <c r="X11" i="1"/>
  <c r="Z11" i="1" s="1"/>
  <c r="X23" i="1"/>
  <c r="Y10" i="1"/>
  <c r="Z10" i="1"/>
  <c r="AH10" i="1" l="1"/>
  <c r="AF11" i="1"/>
  <c r="AH11" i="1" s="1"/>
  <c r="AG10" i="1"/>
  <c r="AF23" i="1"/>
  <c r="AG23" i="1" s="1"/>
  <c r="AH50" i="1"/>
  <c r="AG50" i="1"/>
  <c r="X29" i="1"/>
  <c r="Z23" i="1"/>
  <c r="Y23" i="1"/>
  <c r="AH23" i="1" l="1"/>
  <c r="AF29" i="1"/>
  <c r="AF35" i="1" s="1"/>
  <c r="X35" i="1"/>
  <c r="Z29" i="1"/>
  <c r="Y29" i="1"/>
  <c r="AH29" i="1" l="1"/>
  <c r="AG29" i="1"/>
  <c r="AF36" i="1"/>
  <c r="AH36" i="1" s="1"/>
  <c r="AG35" i="1"/>
  <c r="AH35" i="1"/>
  <c r="X36" i="1"/>
  <c r="Z36" i="1" s="1"/>
  <c r="Y35" i="1"/>
  <c r="Z35" i="1"/>
  <c r="AF45" i="1" l="1"/>
  <c r="AF43" i="1"/>
  <c r="Z45" i="1"/>
  <c r="Y45" i="1"/>
  <c r="Y43" i="1"/>
  <c r="Z43" i="1"/>
  <c r="X44" i="1"/>
  <c r="AH45" i="1" l="1"/>
  <c r="AG45" i="1"/>
  <c r="AF44" i="1"/>
  <c r="AH44" i="1" s="1"/>
  <c r="AH43" i="1"/>
  <c r="AG43" i="1"/>
  <c r="X52" i="1"/>
  <c r="Z44" i="1"/>
  <c r="Y44" i="1"/>
  <c r="AF52" i="1" l="1"/>
  <c r="AG44" i="1"/>
  <c r="X53" i="1"/>
  <c r="Z53" i="1" s="1"/>
  <c r="Y52" i="1"/>
  <c r="Z52" i="1"/>
  <c r="AG52" i="1" l="1"/>
  <c r="AH52" i="1"/>
  <c r="AF53" i="1"/>
  <c r="AH53" i="1" s="1"/>
  <c r="F54" i="3" l="1"/>
  <c r="G31" i="3"/>
  <c r="H31" i="3"/>
  <c r="F67" i="3" l="1"/>
  <c r="H54" i="3"/>
  <c r="G54" i="3"/>
  <c r="F68" i="3" l="1"/>
  <c r="G67" i="3"/>
  <c r="H67" i="3"/>
  <c r="L10" i="12" l="1"/>
  <c r="T23" i="12"/>
  <c r="U10" i="12"/>
  <c r="T70" i="12"/>
  <c r="V10" i="12"/>
  <c r="P10" i="12"/>
  <c r="N10" i="12" l="1"/>
  <c r="V70" i="12"/>
  <c r="L23" i="12"/>
  <c r="V23" i="12"/>
  <c r="U23" i="12"/>
  <c r="R10" i="12"/>
  <c r="Q10" i="12"/>
  <c r="P23" i="12"/>
  <c r="L30" i="12" l="1"/>
  <c r="U30" i="12"/>
  <c r="V30" i="12"/>
  <c r="P30" i="12" l="1"/>
  <c r="Q30" i="12"/>
  <c r="R30" i="12"/>
  <c r="M30" i="12"/>
  <c r="N30" i="12"/>
  <c r="L27" i="12" l="1"/>
  <c r="V27" i="12"/>
  <c r="T71" i="12"/>
  <c r="U27" i="12"/>
  <c r="T36" i="12"/>
  <c r="P27" i="12" l="1"/>
  <c r="Q27" i="12"/>
  <c r="R27" i="12"/>
  <c r="P36" i="12"/>
  <c r="V71" i="12"/>
  <c r="T74" i="12"/>
  <c r="T61" i="12"/>
  <c r="U36" i="12"/>
  <c r="V36" i="12"/>
  <c r="N27" i="12"/>
  <c r="M27" i="12"/>
  <c r="L36" i="12"/>
  <c r="V74" i="12" l="1"/>
  <c r="T76" i="12"/>
  <c r="V76" i="12" s="1"/>
  <c r="L61" i="12"/>
  <c r="N36" i="12"/>
  <c r="M36" i="12"/>
  <c r="T65" i="12"/>
  <c r="V61" i="12"/>
  <c r="U61" i="12"/>
  <c r="P61" i="12"/>
  <c r="Q36" i="12"/>
  <c r="R36" i="12"/>
  <c r="U65" i="12" l="1"/>
  <c r="V65" i="12"/>
  <c r="L65" i="12"/>
  <c r="N61" i="12"/>
  <c r="M61" i="12"/>
  <c r="R61" i="12"/>
  <c r="Q61" i="12"/>
  <c r="P63" i="12" l="1"/>
  <c r="M65" i="12"/>
  <c r="N65" i="12"/>
  <c r="R63" i="12" l="1"/>
  <c r="Q63" i="12"/>
  <c r="P65" i="12"/>
  <c r="Q65" i="12" l="1"/>
  <c r="R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<sst xmlns="http://schemas.openxmlformats.org/spreadsheetml/2006/main" count="827" uniqueCount="591">
  <si>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</si>
  <si>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</si>
  <si>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</si>
  <si>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</si>
  <si>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</si>
  <si>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</si>
  <si>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</si>
  <si>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</si>
  <si>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</si>
  <si>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</si>
  <si>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</si>
  <si>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</si>
  <si>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</si>
  <si>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</si>
  <si>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</si>
  <si>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</si>
  <si>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</si>
  <si>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</si>
  <si>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</si>
  <si>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</si>
  <si>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</si>
  <si>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</si>
  <si>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</si>
  <si>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</si>
  <si>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</si>
  <si>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</si>
  <si>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</si>
  <si>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</si>
  <si>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</si>
  <si>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</si>
  <si>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</si>
  <si>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</si>
  <si>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</si>
  <si>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</si>
  <si>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</si>
  <si>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</si>
  <si>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</si>
  <si>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</si>
  <si>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</si>
  <si>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</si>
  <si>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</si>
  <si>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</si>
  <si>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</si>
  <si>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</si>
  <si>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</si>
  <si>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</si>
  <si>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</si>
  <si>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</si>
  <si>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</si>
  <si>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</si>
  <si>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</si>
  <si>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</si>
  <si>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</si>
  <si>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</si>
  <si>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</si>
  <si>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</si>
  <si>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</si>
  <si>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</si>
  <si>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</si>
  <si>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</si>
  <si>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</si>
  <si>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</si>
  <si>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</si>
  <si>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</si>
  <si>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</si>
  <si>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</si>
  <si>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</si>
  <si>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</si>
  <si>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</si>
  <si>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</si>
  <si>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</si>
  <si>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</si>
  <si>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</si>
  <si>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</si>
  <si>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</si>
  <si>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</si>
  <si>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</si>
  <si>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</si>
  <si>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</si>
  <si>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</si>
  <si>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</si>
  <si>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</si>
  <si>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</si>
  <si>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</si>
  <si>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</si>
  <si>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</si>
  <si>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</si>
  <si>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</si>
  <si>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</si>
  <si>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</si>
  <si>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</si>
  <si>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</si>
  <si>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</si>
  <si>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</si>
  <si>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</si>
  <si>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</si>
  <si>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</si>
  <si>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</si>
  <si>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</si>
  <si>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</si>
  <si>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</si>
  <si>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</si>
  <si>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</si>
  <si>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</si>
  <si>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</si>
  <si>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</si>
  <si>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</si>
  <si>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</si>
  <si>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</si>
  <si>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</si>
  <si>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</si>
  <si>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</si>
  <si>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</si>
  <si>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</si>
  <si>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</si>
  <si>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</si>
  <si>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</si>
  <si>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</si>
  <si>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</si>
  <si>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</si>
  <si>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</si>
  <si>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</si>
  <si>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</si>
  <si>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</si>
  <si>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</si>
  <si>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</si>
  <si>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</si>
  <si>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</si>
  <si>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</si>
  <si>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</si>
  <si>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</si>
  <si>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</si>
  <si>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</si>
  <si>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</si>
  <si>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</si>
  <si>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</si>
  <si>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</si>
  <si>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</si>
  <si>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</si>
  <si>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</si>
  <si>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</si>
  <si>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</si>
  <si>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</si>
  <si>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</si>
  <si>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</si>
  <si>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</si>
  <si>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</si>
  <si>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</si>
  <si>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</si>
  <si>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</si>
  <si>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</si>
  <si>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</si>
  <si>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</si>
  <si>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</si>
  <si>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</si>
  <si>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</si>
  <si>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</si>
  <si>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</si>
  <si>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</si>
  <si>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</si>
  <si>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</si>
  <si>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</si>
  <si>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</si>
  <si>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</si>
  <si>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</si>
  <si>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</si>
  <si>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</si>
  <si>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</si>
  <si>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</si>
  <si>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</si>
  <si>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</si>
  <si>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</si>
  <si>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</si>
  <si>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</si>
  <si>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</si>
  <si>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</si>
  <si>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</si>
  <si>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</si>
  <si>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</si>
  <si>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</si>
  <si>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</si>
  <si>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</si>
  <si>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</si>
  <si>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</si>
  <si>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</si>
  <si>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</si>
  <si>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</si>
  <si>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</si>
  <si>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</si>
  <si>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</si>
  <si>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</si>
  <si>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</si>
  <si>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</si>
  <si>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</si>
  <si>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</si>
  <si>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</si>
  <si>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</si>
  <si>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</si>
  <si>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</si>
  <si>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</si>
  <si>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</si>
  <si>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</si>
  <si>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</si>
  <si>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</si>
  <si>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</si>
  <si>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</si>
  <si>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</si>
  <si>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</si>
  <si>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</si>
  <si>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</si>
  <si>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</si>
  <si>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</si>
  <si>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</si>
  <si>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</si>
  <si>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</si>
  <si>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</si>
  <si>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</si>
  <si>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</si>
  <si>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</si>
  <si>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</si>
  <si>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</si>
  <si>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</si>
  <si>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</si>
  <si>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</si>
  <si>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</si>
  <si>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</si>
  <si>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</si>
  <si>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</si>
  <si>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</si>
  <si>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</si>
  <si>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</si>
  <si>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</si>
  <si>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</si>
  <si>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</si>
  <si>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</si>
  <si>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</si>
  <si>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</si>
  <si>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</si>
  <si>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</si>
  <si>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</si>
  <si>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</si>
  <si>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</si>
  <si>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</si>
  <si>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</si>
  <si>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</si>
  <si>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</si>
  <si>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</si>
  <si>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</si>
  <si>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</si>
  <si>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</si>
  <si>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</si>
  <si>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</si>
  <si>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</si>
  <si>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</si>
  <si>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</si>
  <si>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</si>
  <si>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</si>
  <si>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</si>
  <si>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</si>
  <si>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</si>
  <si>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</si>
  <si>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</si>
  <si>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</si>
  <si>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</si>
  <si>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</si>
  <si>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</si>
  <si>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</si>
  <si>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</si>
  <si>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</si>
  <si>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</si>
  <si>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</si>
  <si>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</si>
  <si>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</si>
  <si>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</si>
  <si>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</si>
  <si>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</si>
  <si>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</si>
  <si>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</si>
  <si>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</si>
  <si>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</si>
  <si>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</si>
  <si>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</si>
  <si>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</si>
  <si>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</si>
  <si>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</si>
  <si>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</si>
  <si>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</si>
  <si>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</si>
  <si>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</si>
  <si>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</si>
  <si>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</si>
  <si>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</si>
  <si>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</si>
  <si>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</si>
  <si>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</si>
  <si>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</si>
  <si>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</si>
  <si>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</si>
  <si>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</si>
  <si>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</si>
  <si>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</si>
  <si>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</si>
  <si>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</si>
  <si>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</si>
  <si>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</si>
  <si>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</si>
  <si>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</si>
  <si>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</si>
  <si>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</si>
  <si>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</si>
  <si>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</si>
  <si>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</si>
  <si>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</si>
  <si>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</si>
  <si>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</si>
  <si>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</si>
  <si>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</si>
  <si>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</si>
  <si>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</si>
  <si>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</si>
  <si>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</si>
  <si>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</si>
  <si>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</si>
  <si>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</si>
  <si>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</si>
  <si>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</si>
  <si>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</si>
  <si>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</si>
  <si>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</si>
  <si>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</si>
  <si>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</si>
  <si>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</si>
  <si>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</si>
  <si>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</si>
  <si>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</si>
  <si>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</si>
  <si>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</si>
  <si>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</si>
  <si>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</si>
  <si>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</si>
  <si>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</si>
  <si>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</si>
  <si>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</si>
  <si>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</si>
  <si>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</si>
  <si>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</si>
  <si>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</si>
  <si>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</si>
  <si>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</si>
  <si>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</si>
  <si>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</si>
  <si>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</si>
  <si>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</si>
  <si>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</si>
  <si>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</si>
  <si>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</si>
  <si>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</si>
  <si>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</si>
  <si>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</si>
  <si>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</si>
  <si>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</si>
  <si>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</si>
  <si>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</si>
  <si>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</si>
  <si>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</si>
  <si>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</si>
  <si>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</si>
  <si>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</si>
  <si>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</si>
  <si>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</si>
  <si>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</si>
  <si>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</si>
  <si>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</si>
  <si>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</si>
  <si>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</si>
  <si>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</si>
  <si>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</si>
  <si>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</si>
  <si>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</si>
  <si>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</si>
  <si>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</si>
  <si>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</si>
  <si>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</si>
  <si>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</si>
  <si>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</si>
  <si>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</si>
  <si>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</si>
  <si>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</si>
  <si>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</si>
  <si>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</si>
  <si>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</si>
  <si>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</si>
  <si>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</si>
  <si>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</si>
  <si>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</si>
  <si>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</si>
  <si>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</si>
  <si>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</si>
  <si>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</si>
  <si>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</si>
  <si>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</si>
  <si>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</si>
  <si>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</si>
  <si>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</si>
  <si>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</si>
  <si>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</si>
  <si>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</si>
  <si>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</si>
  <si>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</si>
  <si>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</si>
  <si>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</si>
  <si>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</si>
  <si>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</si>
  <si>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</si>
  <si>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</si>
  <si>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</si>
  <si>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</si>
  <si>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</si>
  <si>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</si>
  <si>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</si>
  <si>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</si>
  <si>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</si>
  <si>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</si>
  <si>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</si>
  <si>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</si>
  <si>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</si>
  <si>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</si>
  <si>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</si>
  <si>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</si>
  <si>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</si>
  <si>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</si>
  <si>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</si>
  <si>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</si>
  <si>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</si>
  <si>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</si>
  <si>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</si>
  <si>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</si>
  <si>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</si>
  <si>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Lucro (Prejuízo) no período</t>
  </si>
  <si>
    <t>1T23</t>
  </si>
  <si>
    <t>2T23</t>
  </si>
  <si>
    <t>3T23</t>
  </si>
  <si>
    <t>4T23</t>
  </si>
  <si>
    <t>1T24</t>
  </si>
  <si>
    <t>2T24</t>
  </si>
  <si>
    <t>3T24</t>
  </si>
  <si>
    <t>4T24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</si>
  <si>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</si>
  <si>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</si>
  <si>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</si>
  <si>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</si>
  <si>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</si>
  <si>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</si>
  <si>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</si>
  <si>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</si>
  <si>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</si>
  <si>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</si>
  <si>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</si>
  <si>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</si>
  <si>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</si>
  <si>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</si>
  <si>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</si>
  <si>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</si>
  <si>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</si>
  <si>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</si>
  <si>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</si>
  <si>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</si>
  <si>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</si>
  <si>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</si>
  <si>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</si>
  <si>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</si>
  <si>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</si>
  <si>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</si>
  <si>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</si>
  <si>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</si>
  <si>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</si>
  <si>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</si>
  <si>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</si>
  <si>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</si>
  <si>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</si>
  <si>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</si>
  <si>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</si>
  <si>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</si>
  <si>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</si>
  <si>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Balance Sheet (R$ thousand)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</si>
  <si>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</si>
  <si>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</si>
  <si>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</si>
  <si>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</si>
  <si>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</si>
  <si>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</si>
  <si>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</si>
  <si>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</si>
  <si>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</si>
  <si>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</si>
  <si>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</si>
  <si>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</si>
  <si>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</si>
  <si>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</si>
  <si>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</si>
  <si>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</si>
  <si>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</si>
  <si>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</si>
  <si>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</si>
  <si>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</si>
  <si>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</si>
  <si>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</si>
  <si>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</si>
  <si>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</si>
  <si>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</si>
  <si>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</si>
  <si>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</si>
  <si>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</si>
  <si>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</si>
  <si>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</si>
  <si>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</si>
  <si>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</si>
  <si>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</si>
  <si>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</si>
  <si>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</si>
  <si>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</si>
  <si>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</si>
  <si>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</si>
  <si>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</si>
  <si>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</si>
  <si>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</si>
  <si>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</si>
  <si>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</si>
  <si>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</si>
  <si>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</si>
  <si>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</si>
  <si>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</si>
  <si>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</si>
  <si>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</si>
  <si>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</si>
  <si>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</si>
  <si>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>Cash Fow (R$ thousand)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</si>
  <si>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</si>
  <si>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</si>
  <si>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</si>
  <si>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</si>
  <si>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</si>
  <si>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</si>
  <si>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</si>
  <si>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</si>
  <si>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</si>
  <si>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</si>
  <si>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</si>
  <si>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</si>
  <si>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</si>
  <si>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</si>
  <si>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</si>
  <si>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</si>
  <si>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</si>
  <si>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</si>
  <si>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</si>
  <si>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</si>
  <si>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</si>
  <si>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</si>
  <si>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</si>
  <si>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</si>
  <si>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</si>
  <si>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</si>
  <si>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</si>
  <si>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</si>
  <si>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</si>
  <si>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</si>
  <si>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</si>
  <si>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</si>
  <si>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</si>
  <si>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</si>
  <si>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</si>
  <si>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</si>
  <si>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</si>
  <si>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</si>
  <si>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</si>
  <si>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</si>
  <si>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</si>
  <si>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</si>
  <si>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</si>
  <si>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</si>
  <si>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</si>
  <si>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</si>
  <si>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</si>
  <si>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</si>
  <si>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</si>
  <si>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Option Plan Exercise - Stock option</t>
  </si>
  <si>
    <t>Net cash generated (applied) in financing activities</t>
  </si>
  <si>
    <t>Increase (decrease) in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</si>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</sst>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20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3" fontId="4" fillId="6" borderId="5" xfId="1" applyNumberFormat="1" applyFont="1" applyFill="1" applyBorder="1" applyAlignment="1">
      <alignment horizontal="righ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211" fontId="3" fillId="7" borderId="5" xfId="1" applyNumberFormat="1" applyFont="1" applyFill="1" applyBorder="1" applyAlignment="1">
      <alignment horizontal="right"/>
    </xf>
    <xf numFmtId="211" fontId="0" fillId="0" borderId="0" xfId="0" applyNumberFormat="1"/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  <xf numFmtId="0" fontId="3" fillId="3" borderId="2" xfId="0" applyFont="1" applyFill="1" applyBorder="1"/>
    <xf numFmtId="0" fontId="3" fillId="3" borderId="4" xfId="0" applyFont="1" applyFill="1" applyBorder="1"/>
    <xf numFmtId="0" fontId="4" fillId="4" borderId="4" xfId="0" applyFont="1" applyFill="1" applyBorder="1"/>
    <xf numFmtId="0" fontId="5" fillId="3" borderId="5" xfId="0" applyFont="1" applyFill="1" applyBorder="1"/>
    <xf numFmtId="0" fontId="6" fillId="3" borderId="5" xfId="0" applyFont="1" applyFill="1" applyBorder="1"/>
    <xf numFmtId="0" fontId="4" fillId="4" borderId="5" xfId="0" applyFont="1" applyFill="1" applyBorder="1"/>
    <xf numFmtId="0" fontId="3" fillId="0" borderId="6" xfId="0" applyFont="1" applyBorder="1"/>
    <xf numFmtId="0" fontId="3" fillId="0" borderId="4" xfId="0" applyFont="1" applyBorder="1"/>
    <xf numFmtId="0" fontId="7" fillId="2" borderId="9" xfId="0" applyFont="1" applyFill="1" applyBorder="1"/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38</xdr:col>
      <xdr:colOff>49388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5485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1" y="0"/>
          <a:ext cx="7667817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36</xdr:col>
      <xdr:colOff>130528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5"/>
  <cols>
    <col min="1" max="1" width="43.54296875" bestFit="1" customWidth="1"/>
    <col min="2" max="2" width="1.81640625" customWidth="1"/>
    <col min="3" max="3" width="14.1796875" bestFit="1" customWidth="1"/>
    <col min="4" max="4" width="1.1796875" customWidth="1"/>
    <col min="5" max="5" width="14.81640625" customWidth="1"/>
    <col min="6" max="6" width="5.453125" bestFit="1" customWidth="1"/>
    <col min="7" max="7" width="13.81640625" customWidth="1"/>
    <col min="8" max="8" width="2.54296875" customWidth="1"/>
    <col min="9" max="9" width="10.54296875" customWidth="1"/>
    <col min="10" max="10" width="11.1796875" customWidth="1"/>
    <col min="11" max="11" width="47.453125" bestFit="1" customWidth="1"/>
    <col min="12" max="12" width="13.81640625" bestFit="1" customWidth="1"/>
    <col min="13" max="13" width="2.1796875" customWidth="1"/>
    <col min="14" max="14" width="11.1796875" bestFit="1" customWidth="1"/>
    <col min="15" max="15" width="2" customWidth="1"/>
    <col min="16" max="16" width="13.81640625" bestFit="1" customWidth="1"/>
    <col min="17" max="17" width="1.81640625" customWidth="1"/>
    <col min="18" max="18" width="11.1796875" bestFit="1" customWidth="1"/>
    <col min="19" max="19" width="13.1796875" customWidth="1"/>
  </cols>
  <sheetData>
    <row r="1" spans="1:23" ht="15" thickBot="1">
      <c r="A1" s="205"/>
      <c r="B1" s="205"/>
      <c r="C1" s="404" t="s">
        <v>263</v>
      </c>
      <c r="D1" s="404"/>
      <c r="E1" s="404"/>
      <c r="F1" s="205"/>
      <c r="G1" s="404" t="s">
        <v>264</v>
      </c>
      <c r="H1" s="404"/>
      <c r="I1" s="404"/>
      <c r="J1" s="53"/>
      <c r="K1" s="205"/>
      <c r="L1" s="404" t="s">
        <v>263</v>
      </c>
      <c r="M1" s="404"/>
      <c r="N1" s="404"/>
      <c r="O1" s="205"/>
      <c r="P1" s="404" t="s">
        <v>264</v>
      </c>
      <c r="Q1" s="404"/>
      <c r="R1" s="404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05" t="s">
        <v>29</v>
      </c>
      <c r="B3" s="400"/>
      <c r="C3" s="281" t="s">
        <v>399</v>
      </c>
      <c r="D3" s="400"/>
      <c r="E3" s="401" t="s">
        <v>291</v>
      </c>
      <c r="F3" s="400"/>
      <c r="G3" s="281" t="s">
        <v>399</v>
      </c>
      <c r="H3" s="400"/>
      <c r="I3" s="401" t="s">
        <v>291</v>
      </c>
      <c r="J3" s="406"/>
      <c r="K3" s="405" t="s">
        <v>38</v>
      </c>
      <c r="L3" s="281" t="s">
        <v>290</v>
      </c>
      <c r="M3" s="400"/>
      <c r="N3" s="401" t="s">
        <v>291</v>
      </c>
      <c r="O3" s="400"/>
      <c r="P3" s="281" t="s">
        <v>290</v>
      </c>
      <c r="Q3" s="400"/>
      <c r="R3" s="401" t="s">
        <v>291</v>
      </c>
      <c r="S3" s="403"/>
    </row>
    <row r="4" spans="1:23" ht="21" customHeight="1" thickBot="1">
      <c r="A4" s="405"/>
      <c r="B4" s="400"/>
      <c r="C4" s="282" t="s">
        <v>292</v>
      </c>
      <c r="D4" s="400"/>
      <c r="E4" s="402"/>
      <c r="F4" s="400"/>
      <c r="G4" s="282" t="s">
        <v>292</v>
      </c>
      <c r="H4" s="400"/>
      <c r="I4" s="402"/>
      <c r="J4" s="406"/>
      <c r="K4" s="405"/>
      <c r="L4" s="282" t="s">
        <v>292</v>
      </c>
      <c r="M4" s="400"/>
      <c r="N4" s="402"/>
      <c r="O4" s="400"/>
      <c r="P4" s="282" t="s">
        <v>292</v>
      </c>
      <c r="Q4" s="400"/>
      <c r="R4" s="402"/>
      <c r="S4" s="403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30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30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293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294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295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39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31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40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296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41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32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297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298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42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43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34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" thickBot="1">
      <c r="A19" s="210" t="s">
        <v>299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294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300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301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42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302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" thickBot="1">
      <c r="A24" s="210" t="s">
        <v>34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43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303</v>
      </c>
    </row>
    <row r="25" spans="1:21">
      <c r="A25" s="210" t="s">
        <v>35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" thickBot="1">
      <c r="A26" s="210" t="s">
        <v>304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" thickBot="1">
      <c r="A27" s="210" t="s">
        <v>32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400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305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36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306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" thickBot="1">
      <c r="A31" s="210" t="s">
        <v>33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307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45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46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308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47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309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48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" thickBot="1">
      <c r="A36" s="210" t="s">
        <v>310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49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401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54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50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" thickBot="1">
      <c r="A45" s="210" t="s">
        <v>37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311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312</v>
      </c>
    </row>
    <row r="50" spans="1:1">
      <c r="A50" s="293" t="s">
        <v>313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5"/>
  <cols>
    <col min="1" max="1" width="49.54296875" bestFit="1" customWidth="1"/>
    <col min="3" max="3" width="2.81640625" customWidth="1"/>
    <col min="5" max="5" width="2.81640625" customWidth="1"/>
    <col min="6" max="6" width="9.81640625" bestFit="1" customWidth="1"/>
    <col min="7" max="7" width="2.54296875" customWidth="1"/>
    <col min="9" max="10" width="9.1796875" style="103"/>
    <col min="14" max="14" width="14.1796875" bestFit="1" customWidth="1"/>
    <col min="16" max="16" width="10.81640625" bestFit="1" customWidth="1"/>
  </cols>
  <sheetData>
    <row r="1" spans="1:10" ht="15" thickBot="1">
      <c r="A1" s="205"/>
      <c r="B1" s="402" t="s">
        <v>263</v>
      </c>
      <c r="C1" s="402"/>
      <c r="D1" s="402"/>
      <c r="E1" s="53"/>
      <c r="F1" s="402" t="s">
        <v>264</v>
      </c>
      <c r="G1" s="402"/>
      <c r="H1" s="402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265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" thickBot="1">
      <c r="A6" s="210" t="s">
        <v>266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256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267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268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269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" thickBot="1">
      <c r="A12" s="210" t="s">
        <v>270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271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257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" thickBot="1">
      <c r="A16" s="210" t="s">
        <v>258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" thickBot="1">
      <c r="A18" s="217" t="s">
        <v>272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259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260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273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" thickBot="1">
      <c r="A23" s="210" t="s">
        <v>274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" thickBot="1">
      <c r="A25" s="217" t="s">
        <v>275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261</v>
      </c>
      <c r="B28" s="407"/>
      <c r="C28" s="408"/>
      <c r="D28" s="407"/>
      <c r="E28" s="406"/>
      <c r="F28" s="216"/>
      <c r="G28" s="216"/>
      <c r="H28" s="216"/>
    </row>
    <row r="29" spans="1:10">
      <c r="A29" s="217"/>
      <c r="B29" s="407"/>
      <c r="C29" s="408"/>
      <c r="D29" s="407"/>
      <c r="E29" s="406"/>
      <c r="F29" s="216"/>
      <c r="G29" s="216"/>
      <c r="H29" s="216"/>
    </row>
    <row r="30" spans="1:10">
      <c r="A30" s="210" t="s">
        <v>262</v>
      </c>
      <c r="B30" s="407"/>
      <c r="C30" s="408"/>
      <c r="D30" s="407"/>
      <c r="E30" s="406"/>
      <c r="F30" s="216">
        <v>-5403</v>
      </c>
      <c r="G30" s="216"/>
      <c r="H30" s="213">
        <v>-7721</v>
      </c>
    </row>
    <row r="31" spans="1:10">
      <c r="A31" s="210" t="s">
        <v>69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276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277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278</v>
      </c>
    </row>
    <row r="38" spans="1:16">
      <c r="A38" s="217" t="s">
        <v>279</v>
      </c>
      <c r="B38" s="225"/>
      <c r="C38" s="226"/>
      <c r="D38" s="225"/>
      <c r="E38" s="53"/>
      <c r="F38" s="53"/>
      <c r="G38" s="53"/>
      <c r="H38" s="53"/>
      <c r="L38" t="s">
        <v>280</v>
      </c>
      <c r="N38" s="204">
        <v>77473553.7675841</v>
      </c>
      <c r="O38" t="s">
        <v>281</v>
      </c>
      <c r="P38" s="229">
        <v>41639</v>
      </c>
    </row>
    <row r="39" spans="1:16" ht="15" thickBot="1">
      <c r="A39" s="210" t="s">
        <v>282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283</v>
      </c>
      <c r="N39" s="204"/>
    </row>
    <row r="40" spans="1:16" ht="15" thickTop="1">
      <c r="A40" s="205"/>
      <c r="B40" s="53"/>
      <c r="C40" s="53"/>
      <c r="D40" s="53"/>
      <c r="E40" s="53"/>
      <c r="F40" s="232"/>
      <c r="G40" s="53"/>
      <c r="H40" s="53"/>
      <c r="L40" t="s">
        <v>284</v>
      </c>
      <c r="N40" s="204">
        <v>3050178.8136986303</v>
      </c>
    </row>
    <row r="41" spans="1:16">
      <c r="A41" s="217" t="s">
        <v>285</v>
      </c>
      <c r="B41" s="53"/>
      <c r="C41" s="53"/>
      <c r="D41" s="53"/>
      <c r="E41" s="53"/>
      <c r="F41" s="232"/>
      <c r="G41" s="53"/>
      <c r="H41" s="53"/>
    </row>
    <row r="42" spans="1:16" ht="15" thickBot="1">
      <c r="A42" s="210" t="s">
        <v>286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287</v>
      </c>
      <c r="N42" s="233">
        <f>SUM(N38:N40)</f>
        <v>80523732.581282735</v>
      </c>
    </row>
    <row r="43" spans="1:16" ht="15" thickTop="1">
      <c r="F43" s="234"/>
    </row>
    <row r="44" spans="1:16">
      <c r="F44" s="234"/>
      <c r="L44" t="s">
        <v>288</v>
      </c>
      <c r="N44" s="235">
        <f>G36/(N38/1000)</f>
        <v>0</v>
      </c>
    </row>
    <row r="45" spans="1:16">
      <c r="L45" t="s">
        <v>289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796875" defaultRowHeight="12.5"/>
  <cols>
    <col min="1" max="1" width="56.81640625" style="105" bestFit="1" customWidth="1"/>
    <col min="2" max="2" width="2.81640625" style="105" customWidth="1"/>
    <col min="3" max="3" width="10.81640625" style="105" bestFit="1" customWidth="1"/>
    <col min="4" max="4" width="7.54296875" style="105" bestFit="1" customWidth="1"/>
    <col min="5" max="5" width="9.1796875" style="105" bestFit="1" customWidth="1"/>
    <col min="6" max="6" width="9.81640625" style="105" bestFit="1" customWidth="1"/>
    <col min="7" max="7" width="7.1796875" style="105" bestFit="1" customWidth="1"/>
    <col min="8" max="8" width="9.1796875" style="105" bestFit="1" customWidth="1"/>
    <col min="9" max="9" width="10.1796875" style="105" bestFit="1" customWidth="1"/>
    <col min="10" max="10" width="15.81640625" style="105" customWidth="1"/>
    <col min="11" max="11" width="16.54296875" style="105" customWidth="1"/>
    <col min="12" max="12" width="14.54296875" style="105" customWidth="1"/>
    <col min="13" max="14" width="14.54296875" style="105" hidden="1" customWidth="1"/>
    <col min="15" max="15" width="9.1796875" style="105" hidden="1" customWidth="1"/>
    <col min="16" max="16" width="15.453125" style="105" hidden="1" customWidth="1"/>
    <col min="17" max="18" width="9.1796875" style="105" hidden="1" customWidth="1"/>
    <col min="19" max="19" width="4.81640625" style="105" hidden="1" customWidth="1"/>
    <col min="20" max="20" width="41.1796875" style="105" hidden="1" customWidth="1"/>
    <col min="21" max="21" width="12.81640625" style="105" hidden="1" customWidth="1"/>
    <col min="22" max="22" width="26.1796875" style="105" hidden="1" customWidth="1"/>
    <col min="23" max="23" width="4.8164062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1796875" style="105" bestFit="1" customWidth="1"/>
    <col min="30" max="16384" width="9.1796875" style="105"/>
  </cols>
  <sheetData>
    <row r="1" spans="1:18" ht="13">
      <c r="A1" s="184" t="s">
        <v>70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 ht="13">
      <c r="A2" s="184" t="s">
        <v>71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3">
      <c r="A4" s="156"/>
      <c r="B4" s="156"/>
      <c r="C4" s="197" t="s">
        <v>72</v>
      </c>
      <c r="D4" s="156" t="s">
        <v>73</v>
      </c>
      <c r="E4" s="167" t="s">
        <v>74</v>
      </c>
      <c r="F4" s="167" t="s">
        <v>75</v>
      </c>
      <c r="G4" s="167" t="s">
        <v>76</v>
      </c>
      <c r="H4" s="177" t="s">
        <v>77</v>
      </c>
      <c r="I4" s="156" t="s">
        <v>78</v>
      </c>
      <c r="J4" s="185" t="s">
        <v>79</v>
      </c>
      <c r="K4" s="167" t="s">
        <v>80</v>
      </c>
      <c r="L4" s="156"/>
      <c r="M4" s="156"/>
      <c r="N4" s="156"/>
      <c r="O4" s="156"/>
      <c r="P4" s="156"/>
      <c r="Q4" s="156"/>
      <c r="R4" s="156"/>
    </row>
    <row r="5" spans="1:18" ht="13">
      <c r="A5" s="156" t="s">
        <v>81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82</v>
      </c>
      <c r="K5" s="169" t="s">
        <v>83</v>
      </c>
      <c r="L5" s="201" t="s">
        <v>84</v>
      </c>
      <c r="M5" s="170" t="s">
        <v>85</v>
      </c>
      <c r="N5" s="170" t="s">
        <v>72</v>
      </c>
      <c r="O5" s="170" t="s">
        <v>86</v>
      </c>
      <c r="P5" s="170" t="s">
        <v>74</v>
      </c>
      <c r="Q5" s="170" t="s">
        <v>87</v>
      </c>
      <c r="R5" s="173" t="s">
        <v>88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89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90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91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92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93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94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95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96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97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98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99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100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101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102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103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104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105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106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107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108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109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110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111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112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113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114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115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" thickBot="1">
      <c r="A42" s="156" t="s">
        <v>116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117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70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71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72</v>
      </c>
      <c r="D50" s="156" t="s">
        <v>73</v>
      </c>
      <c r="E50" s="167" t="s">
        <v>74</v>
      </c>
      <c r="F50" s="167" t="s">
        <v>75</v>
      </c>
      <c r="G50" s="167" t="s">
        <v>76</v>
      </c>
      <c r="H50" s="167" t="s">
        <v>77</v>
      </c>
      <c r="I50" s="156" t="s">
        <v>78</v>
      </c>
      <c r="J50" s="185" t="s">
        <v>79</v>
      </c>
      <c r="K50" s="167" t="s">
        <v>80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81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82</v>
      </c>
      <c r="K51" s="169" t="s">
        <v>83</v>
      </c>
      <c r="L51" s="169" t="s">
        <v>84</v>
      </c>
      <c r="M51" s="169" t="s">
        <v>85</v>
      </c>
      <c r="N51" s="169" t="s">
        <v>72</v>
      </c>
      <c r="O51" s="170" t="s">
        <v>118</v>
      </c>
      <c r="P51" s="170" t="s">
        <v>119</v>
      </c>
      <c r="Q51" s="170" t="s">
        <v>87</v>
      </c>
      <c r="R51" s="170" t="s">
        <v>88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120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121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122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97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123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124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125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126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127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128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129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130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124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131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132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133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134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135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136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137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138</v>
      </c>
      <c r="W80" s="156"/>
      <c r="X80" s="156"/>
      <c r="Y80" s="156" t="s">
        <v>139</v>
      </c>
    </row>
    <row r="81" spans="1:29" ht="14.5">
      <c r="A81" s="156" t="s">
        <v>140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45</v>
      </c>
      <c r="W81" s="181"/>
      <c r="X81" s="182">
        <v>128515</v>
      </c>
      <c r="Y81" s="182">
        <v>124547</v>
      </c>
    </row>
    <row r="82" spans="1:29" ht="14.5">
      <c r="A82" s="156" t="s">
        <v>141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46</v>
      </c>
      <c r="W82" s="181"/>
      <c r="X82" s="182">
        <v>-10870</v>
      </c>
      <c r="Y82" s="182">
        <v>-10870</v>
      </c>
    </row>
    <row r="83" spans="1:29" ht="14.5">
      <c r="A83" s="156" t="s">
        <v>142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47</v>
      </c>
      <c r="W83" s="181"/>
      <c r="X83" s="182">
        <v>178844</v>
      </c>
      <c r="Y83" s="182">
        <v>181431</v>
      </c>
    </row>
    <row r="84" spans="1:29" ht="14.5">
      <c r="A84" s="156" t="s">
        <v>143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48</v>
      </c>
      <c r="W84" s="181"/>
      <c r="X84" s="182">
        <v>137149</v>
      </c>
      <c r="Y84" s="182">
        <v>129049</v>
      </c>
    </row>
    <row r="85" spans="1:29" ht="14.5">
      <c r="A85" s="156" t="s">
        <v>144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49</v>
      </c>
      <c r="W85" s="181"/>
      <c r="X85" s="182">
        <v>-15512</v>
      </c>
      <c r="Y85" s="182">
        <v>-16373</v>
      </c>
    </row>
    <row r="86" spans="1:29">
      <c r="A86" s="156" t="s">
        <v>145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146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147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" thickBot="1">
      <c r="A91" s="156" t="s">
        <v>148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117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71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71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72</v>
      </c>
      <c r="D98" s="156" t="s">
        <v>73</v>
      </c>
      <c r="E98" s="177" t="s">
        <v>74</v>
      </c>
      <c r="F98" s="167" t="s">
        <v>75</v>
      </c>
      <c r="G98" s="167" t="s">
        <v>76</v>
      </c>
      <c r="H98" s="167" t="s">
        <v>77</v>
      </c>
      <c r="I98" s="156" t="s">
        <v>78</v>
      </c>
      <c r="J98" s="167" t="s">
        <v>80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72</v>
      </c>
      <c r="AD98" s="105" t="s">
        <v>73</v>
      </c>
      <c r="AE98" s="118" t="s">
        <v>74</v>
      </c>
      <c r="AF98" s="107" t="s">
        <v>75</v>
      </c>
      <c r="AG98" s="107" t="s">
        <v>76</v>
      </c>
      <c r="AH98" s="107" t="s">
        <v>77</v>
      </c>
      <c r="AI98" s="105" t="s">
        <v>78</v>
      </c>
      <c r="AJ98" s="107" t="s">
        <v>80</v>
      </c>
    </row>
    <row r="99" spans="1:37">
      <c r="A99" s="156" t="s">
        <v>81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83</v>
      </c>
      <c r="K99" s="169" t="s">
        <v>84</v>
      </c>
      <c r="L99" s="156"/>
      <c r="M99" s="170" t="s">
        <v>72</v>
      </c>
      <c r="N99" s="170" t="s">
        <v>118</v>
      </c>
      <c r="O99" s="170" t="s">
        <v>119</v>
      </c>
      <c r="P99" s="170" t="s">
        <v>87</v>
      </c>
      <c r="Q99" s="170" t="s">
        <v>88</v>
      </c>
      <c r="R99" s="156"/>
      <c r="S99" s="156"/>
      <c r="T99" s="156"/>
      <c r="U99" s="156"/>
      <c r="V99" s="156"/>
      <c r="W99" s="156"/>
      <c r="X99" s="156"/>
      <c r="AA99" s="105" t="s">
        <v>81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83</v>
      </c>
      <c r="AK99" s="109" t="s">
        <v>84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4.5">
      <c r="A101" s="156" t="s">
        <v>149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149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4.5">
      <c r="A102" s="156" t="s">
        <v>150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150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4.5">
      <c r="A103" s="156" t="s">
        <v>151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151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4.5">
      <c r="A104" s="163" t="s">
        <v>152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152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4.5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4.5">
      <c r="A106" s="156" t="s">
        <v>153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154</v>
      </c>
      <c r="V106" s="156"/>
      <c r="W106" s="156"/>
      <c r="X106" s="202">
        <v>524</v>
      </c>
      <c r="AA106" s="105" t="s">
        <v>153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4.5">
      <c r="A107" s="156" t="s">
        <v>155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156</v>
      </c>
      <c r="V107" s="156"/>
      <c r="W107" s="156"/>
      <c r="X107" s="202">
        <v>188.4828</v>
      </c>
      <c r="AA107" s="105" t="s">
        <v>155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4.5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157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4.5">
      <c r="A109" s="156" t="s">
        <v>158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158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4.5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159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4.5">
      <c r="A111" s="156" t="s">
        <v>160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161</v>
      </c>
      <c r="V111" s="156"/>
      <c r="W111" s="156"/>
      <c r="X111" s="202">
        <v>748</v>
      </c>
      <c r="AA111" s="105" t="s">
        <v>160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4.5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162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4.5">
      <c r="A113" s="156" t="s">
        <v>163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164</v>
      </c>
      <c r="V113" s="156"/>
      <c r="W113" s="156"/>
      <c r="X113" s="202">
        <v>500.93560000000002</v>
      </c>
      <c r="Y113" s="156"/>
      <c r="AA113" s="105" t="s">
        <v>163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4.5">
      <c r="A114" s="156" t="s">
        <v>165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165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4.5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4.5">
      <c r="A116" s="156" t="s">
        <v>166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167</v>
      </c>
      <c r="V116" s="156"/>
      <c r="W116" s="156"/>
      <c r="X116" s="163" t="s">
        <v>168</v>
      </c>
      <c r="Y116" s="156"/>
      <c r="AA116" s="105" t="s">
        <v>166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4.5">
      <c r="A117" s="156" t="s">
        <v>169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170</v>
      </c>
      <c r="V117" s="156"/>
      <c r="W117" s="156"/>
      <c r="X117" s="164">
        <v>335.5172</v>
      </c>
      <c r="Y117" s="163" t="s">
        <v>171</v>
      </c>
      <c r="AA117" s="105" t="s">
        <v>169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4.5">
      <c r="A118" s="156" t="s">
        <v>172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173</v>
      </c>
      <c r="V118" s="156"/>
      <c r="W118" s="156"/>
      <c r="X118" s="202">
        <v>500.93560000000002</v>
      </c>
      <c r="Y118" s="163" t="s">
        <v>174</v>
      </c>
      <c r="AA118" s="105" t="s">
        <v>172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4.5">
      <c r="A119" s="156" t="s">
        <v>175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176</v>
      </c>
      <c r="V119" s="156"/>
      <c r="W119" s="156"/>
      <c r="X119" s="164">
        <v>-165.41840000000002</v>
      </c>
      <c r="Y119" s="163" t="s">
        <v>174</v>
      </c>
      <c r="AA119" s="105" t="s">
        <v>175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4.5">
      <c r="A120" s="156" t="s">
        <v>177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177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4.5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4.5">
      <c r="A122" s="156" t="s">
        <v>178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178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4.5">
      <c r="A123" s="156" t="s">
        <v>179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179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4.5">
      <c r="A124" s="156" t="s">
        <v>180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180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4.5">
      <c r="A125" s="156" t="s">
        <v>181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181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4.5">
      <c r="A126" s="156" t="s">
        <v>182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182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4.5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4.5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4.5">
      <c r="A129" s="156" t="s">
        <v>183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183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4.5">
      <c r="A130" s="156" t="s">
        <v>184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184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4.5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4.5">
      <c r="A132" s="156" t="s">
        <v>185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185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4.5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4.5">
      <c r="A134" s="156" t="s">
        <v>186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186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4.5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4.5">
      <c r="A136" s="156" t="s">
        <v>187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187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4.5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4.5">
      <c r="A138" s="156" t="s">
        <v>188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188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4.5">
      <c r="A139" s="156" t="s">
        <v>189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189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4.5">
      <c r="A140" s="163" t="s">
        <v>190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190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4.5">
      <c r="A141" s="156" t="s">
        <v>191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191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4.5">
      <c r="A142" s="156" t="s">
        <v>192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192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4.5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" thickBot="1">
      <c r="A144" s="156" t="s">
        <v>193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193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196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198</v>
      </c>
      <c r="U149" s="163" t="s">
        <v>72</v>
      </c>
      <c r="V149" s="163" t="s">
        <v>84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200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202</v>
      </c>
      <c r="U151" s="157">
        <v>6347</v>
      </c>
      <c r="V151" s="157">
        <v>6370</v>
      </c>
    </row>
    <row r="152" spans="1:37" ht="13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203</v>
      </c>
      <c r="U152" s="157">
        <v>8866</v>
      </c>
      <c r="V152" s="157">
        <v>8870</v>
      </c>
    </row>
    <row r="153" spans="1:37" ht="14.5">
      <c r="A153" s="189" t="s">
        <v>194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205</v>
      </c>
      <c r="U153" s="157">
        <v>7107</v>
      </c>
      <c r="V153" s="157">
        <v>7644</v>
      </c>
    </row>
    <row r="154" spans="1:37" ht="14.5">
      <c r="A154" s="127" t="s">
        <v>195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207</v>
      </c>
      <c r="U154" s="157">
        <v>7916</v>
      </c>
      <c r="V154" s="157">
        <v>6160</v>
      </c>
    </row>
    <row r="155" spans="1:37" ht="14.5">
      <c r="A155" s="128" t="s">
        <v>197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4.5">
      <c r="A156" s="128" t="s">
        <v>199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210</v>
      </c>
      <c r="U156" s="164">
        <v>176126</v>
      </c>
      <c r="V156" s="164">
        <v>171271</v>
      </c>
    </row>
    <row r="157" spans="1:37" ht="14.5">
      <c r="A157" s="128" t="s">
        <v>201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4.5">
      <c r="A158" s="128" t="s">
        <v>16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213</v>
      </c>
      <c r="U158" s="193">
        <v>22.249368367862555</v>
      </c>
      <c r="V158" s="193">
        <v>27.803733766233766</v>
      </c>
    </row>
    <row r="159" spans="1:37" ht="14.5">
      <c r="A159" s="130" t="s">
        <v>204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213</v>
      </c>
      <c r="U159" s="193">
        <v>3.5</v>
      </c>
      <c r="V159" s="193">
        <v>3.5</v>
      </c>
    </row>
    <row r="160" spans="1:37" ht="14.5">
      <c r="A160" s="130" t="s">
        <v>206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216</v>
      </c>
      <c r="U160" s="193">
        <v>-18.749368367862555</v>
      </c>
      <c r="V160" s="193">
        <v>-24.303733766233766</v>
      </c>
    </row>
    <row r="161" spans="1:22" ht="14.5">
      <c r="A161" s="130" t="s">
        <v>208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218</v>
      </c>
      <c r="U161" s="164">
        <v>42405.714285714283</v>
      </c>
      <c r="V161" s="164">
        <v>42774.571428571428</v>
      </c>
    </row>
    <row r="162" spans="1:22" ht="14.5">
      <c r="A162" s="132" t="s">
        <v>209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4.5">
      <c r="A163" s="133" t="s">
        <v>211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4.5">
      <c r="A164" s="133" t="s">
        <v>212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4.5">
      <c r="A165" s="130" t="s">
        <v>214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4.5">
      <c r="A166" s="130" t="s">
        <v>215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4.5">
      <c r="A167" s="135" t="s">
        <v>217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4.5">
      <c r="A168" s="137" t="s">
        <v>219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4.5">
      <c r="A169" s="128" t="s">
        <v>220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4.5">
      <c r="A170" s="128" t="s">
        <v>201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4.5">
      <c r="A171" s="128" t="s">
        <v>221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4.5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4.5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4.5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4.5">
      <c r="A175" s="141" t="s">
        <v>51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4.5">
      <c r="A176" s="142" t="s">
        <v>222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4.5">
      <c r="A177" s="142" t="s">
        <v>223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4.5">
      <c r="A178" s="141" t="s">
        <v>224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4.5">
      <c r="A179" s="127" t="s">
        <v>224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4.5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4.5">
      <c r="A181" s="127" t="s">
        <v>225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4.5">
      <c r="A182" s="141" t="s">
        <v>226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4.5">
      <c r="A183" s="127" t="s">
        <v>227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4.5">
      <c r="A184" s="127" t="s">
        <v>228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4.5">
      <c r="A185" s="142" t="s">
        <v>229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4.5">
      <c r="A186" s="127" t="s">
        <v>230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4.5">
      <c r="A187" s="141" t="s">
        <v>231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4.5">
      <c r="A188" s="127" t="s">
        <v>232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4.5">
      <c r="A189" s="127" t="s">
        <v>233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4.5">
      <c r="A190" s="142" t="s">
        <v>234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4.5">
      <c r="A191" s="141" t="s">
        <v>235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4.5">
      <c r="A192" s="141" t="s">
        <v>236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4.5">
      <c r="A193" s="141" t="s">
        <v>237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4.5">
      <c r="A194" s="148" t="s">
        <v>238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4.5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4.5">
      <c r="A197" s="151" t="s">
        <v>239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4.5">
      <c r="A198" s="142" t="s">
        <v>240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4.5">
      <c r="A199" s="142" t="s">
        <v>241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4.5">
      <c r="A200" s="142" t="s">
        <v>242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4.5">
      <c r="A201" s="148" t="s">
        <v>243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4.5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4.5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4.5">
      <c r="A204" s="142" t="s">
        <v>244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4.5">
      <c r="A205" s="142" t="s">
        <v>245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4.5">
      <c r="A206" s="142" t="s">
        <v>246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4.5">
      <c r="A207" s="142" t="s">
        <v>247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4.5">
      <c r="A208" s="142" t="s">
        <v>248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4.5">
      <c r="A209" s="142" t="s">
        <v>249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4.5">
      <c r="A210" s="148" t="s">
        <v>250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4.5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4.5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4.5">
      <c r="A213" s="142" t="s">
        <v>251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4.5">
      <c r="A214" s="142" t="s">
        <v>252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4.5">
      <c r="A215" s="148" t="s">
        <v>253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4.5">
      <c r="A216" s="154" t="s">
        <v>254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4.5">
      <c r="A217" s="130" t="s">
        <v>206</v>
      </c>
      <c r="B217" s="131"/>
      <c r="K217" s="131">
        <v>0</v>
      </c>
      <c r="T217" s="113" t="s">
        <v>207</v>
      </c>
      <c r="U217" s="110">
        <f>U213-U214+U215+U216</f>
        <v>0</v>
      </c>
      <c r="V217" s="110">
        <f>V213-V214+V215+V216</f>
        <v>0</v>
      </c>
    </row>
    <row r="218" spans="1:22" ht="14.5">
      <c r="A218" s="130" t="s">
        <v>208</v>
      </c>
      <c r="B218" s="131"/>
      <c r="K218" s="131">
        <v>0</v>
      </c>
    </row>
    <row r="219" spans="1:22" ht="14.5">
      <c r="A219" s="132" t="s">
        <v>209</v>
      </c>
      <c r="B219" s="131"/>
      <c r="K219" s="131">
        <f>SUM(K220:K221,K223)-K222</f>
        <v>2775.6015012699886</v>
      </c>
      <c r="T219" s="113" t="s">
        <v>210</v>
      </c>
      <c r="U219" s="111">
        <f>(C53+C65+J53)-C9</f>
        <v>176126</v>
      </c>
      <c r="V219" s="111">
        <f>(L53+L65)-L9</f>
        <v>171271</v>
      </c>
    </row>
    <row r="220" spans="1:22" ht="14.5">
      <c r="A220" s="133" t="s">
        <v>211</v>
      </c>
      <c r="B220" s="129"/>
      <c r="K220" s="129">
        <v>2665.8305620537099</v>
      </c>
    </row>
    <row r="221" spans="1:22" ht="14.5">
      <c r="A221" s="133" t="s">
        <v>212</v>
      </c>
      <c r="B221" s="129"/>
      <c r="K221" s="129">
        <v>185.44597201318413</v>
      </c>
      <c r="T221" s="113" t="s">
        <v>213</v>
      </c>
      <c r="U221" s="134" t="e">
        <f>U219/U217</f>
        <v>#DIV/0!</v>
      </c>
      <c r="V221" s="134" t="e">
        <f>V219/V217</f>
        <v>#DIV/0!</v>
      </c>
    </row>
    <row r="222" spans="1:22" ht="14.5">
      <c r="A222" s="130" t="s">
        <v>214</v>
      </c>
      <c r="B222" s="129"/>
      <c r="K222" s="129">
        <v>75.6750327969051</v>
      </c>
      <c r="T222" s="113" t="s">
        <v>213</v>
      </c>
      <c r="U222" s="134">
        <v>3.5</v>
      </c>
      <c r="V222" s="134">
        <v>3.5</v>
      </c>
    </row>
    <row r="223" spans="1:22" ht="14.5">
      <c r="A223" s="130" t="s">
        <v>215</v>
      </c>
      <c r="B223" s="131"/>
      <c r="K223" s="131">
        <v>0</v>
      </c>
      <c r="T223" s="113" t="s">
        <v>216</v>
      </c>
      <c r="U223" s="134" t="e">
        <f>U222-U221</f>
        <v>#DIV/0!</v>
      </c>
      <c r="V223" s="134" t="e">
        <f>V222-V221</f>
        <v>#DIV/0!</v>
      </c>
    </row>
    <row r="224" spans="1:22" ht="14.5">
      <c r="A224" s="135" t="s">
        <v>217</v>
      </c>
      <c r="B224" s="136"/>
      <c r="K224" s="136">
        <f>K211-K219</f>
        <v>-2775.7520965194585</v>
      </c>
      <c r="T224" s="113" t="s">
        <v>218</v>
      </c>
      <c r="U224" s="111">
        <f>U219/U222-U217</f>
        <v>50321.714285714283</v>
      </c>
      <c r="V224" s="111">
        <f>V219/V222-V217</f>
        <v>48934.571428571428</v>
      </c>
    </row>
    <row r="225" spans="1:11" ht="14.5">
      <c r="A225" s="137" t="s">
        <v>219</v>
      </c>
      <c r="B225" s="129"/>
      <c r="K225" s="129">
        <f>SUM(K226:K228)</f>
        <v>6660.0517582020475</v>
      </c>
    </row>
    <row r="226" spans="1:11" ht="14.5">
      <c r="A226" s="128" t="s">
        <v>220</v>
      </c>
      <c r="B226" s="131"/>
      <c r="K226" s="131">
        <v>5486.9068051513486</v>
      </c>
    </row>
    <row r="227" spans="1:11" ht="14.5">
      <c r="A227" s="128" t="s">
        <v>201</v>
      </c>
      <c r="B227" s="131"/>
      <c r="K227" s="131">
        <v>1173.1449530506991</v>
      </c>
    </row>
    <row r="228" spans="1:11" ht="14.5">
      <c r="A228" s="128" t="s">
        <v>221</v>
      </c>
      <c r="B228" s="131"/>
      <c r="K228" s="131">
        <v>0</v>
      </c>
    </row>
    <row r="229" spans="1:11" ht="14.5">
      <c r="A229" s="135" t="s">
        <v>2</v>
      </c>
      <c r="B229" s="136"/>
      <c r="K229" s="136">
        <f>K224-K225</f>
        <v>-9435.8038547215056</v>
      </c>
    </row>
    <row r="230" spans="1:11" ht="14.5">
      <c r="A230" s="138" t="s">
        <v>4</v>
      </c>
      <c r="B230" s="139"/>
      <c r="K230" s="139">
        <v>0.59568235249464341</v>
      </c>
    </row>
    <row r="231" spans="1:11" ht="14.5">
      <c r="A231" s="138"/>
      <c r="B231" s="140"/>
      <c r="K231" s="140"/>
    </row>
    <row r="232" spans="1:11" ht="14.5">
      <c r="A232" s="141" t="s">
        <v>51</v>
      </c>
      <c r="B232" s="129"/>
      <c r="K232" s="129">
        <f>K233+K234</f>
        <v>10552.775973267757</v>
      </c>
    </row>
    <row r="233" spans="1:11" ht="14.5">
      <c r="A233" s="142" t="s">
        <v>222</v>
      </c>
      <c r="B233" s="143"/>
      <c r="K233" s="143">
        <v>5708.2018461197977</v>
      </c>
    </row>
    <row r="234" spans="1:11" ht="14.5">
      <c r="A234" s="142" t="s">
        <v>223</v>
      </c>
      <c r="B234" s="129"/>
      <c r="K234" s="129">
        <v>4844.5741271479592</v>
      </c>
    </row>
    <row r="235" spans="1:11" ht="14.5">
      <c r="A235" s="141" t="s">
        <v>224</v>
      </c>
      <c r="B235" s="129"/>
      <c r="K235" s="129">
        <f>SUM(K236:K238)</f>
        <v>2530.7577717723161</v>
      </c>
    </row>
    <row r="236" spans="1:11" ht="14.5">
      <c r="A236" s="127" t="s">
        <v>224</v>
      </c>
      <c r="B236" s="129"/>
      <c r="K236" s="129">
        <v>1973.1285357426675</v>
      </c>
    </row>
    <row r="237" spans="1:11" ht="14.5">
      <c r="A237" s="127" t="s">
        <v>3</v>
      </c>
      <c r="B237" s="144"/>
      <c r="K237" s="144">
        <v>201.02146102964883</v>
      </c>
    </row>
    <row r="238" spans="1:11" ht="14.5">
      <c r="A238" s="127" t="s">
        <v>225</v>
      </c>
      <c r="B238" s="145"/>
      <c r="K238" s="145">
        <v>356.607775</v>
      </c>
    </row>
    <row r="239" spans="1:11" ht="14.5">
      <c r="A239" s="141" t="s">
        <v>226</v>
      </c>
      <c r="B239" s="129"/>
      <c r="K239" s="129">
        <f>K240-K241+K242-K243</f>
        <v>-218.33333333333334</v>
      </c>
    </row>
    <row r="240" spans="1:11" ht="14.5">
      <c r="A240" s="127" t="s">
        <v>227</v>
      </c>
      <c r="B240" s="145"/>
      <c r="K240" s="145">
        <v>40</v>
      </c>
    </row>
    <row r="241" spans="1:11" ht="14.5">
      <c r="A241" s="127" t="s">
        <v>228</v>
      </c>
      <c r="B241" s="144"/>
      <c r="K241" s="144">
        <v>250</v>
      </c>
    </row>
    <row r="242" spans="1:11" ht="14.5">
      <c r="A242" s="142" t="s">
        <v>229</v>
      </c>
      <c r="B242" s="131"/>
      <c r="K242" s="131">
        <v>-8.3333333333333339</v>
      </c>
    </row>
    <row r="243" spans="1:11" ht="14.5">
      <c r="A243" s="127" t="s">
        <v>230</v>
      </c>
      <c r="B243" s="146"/>
      <c r="K243" s="146">
        <v>0</v>
      </c>
    </row>
    <row r="244" spans="1:11" ht="14.5">
      <c r="A244" s="141" t="s">
        <v>231</v>
      </c>
      <c r="B244" s="129"/>
      <c r="K244" s="129">
        <f>SUM(K245:K247)</f>
        <v>-1667.3769621482606</v>
      </c>
    </row>
    <row r="245" spans="1:11" ht="14.5">
      <c r="A245" s="127" t="s">
        <v>232</v>
      </c>
      <c r="B245" s="144"/>
      <c r="K245" s="144">
        <v>140.84719683872652</v>
      </c>
    </row>
    <row r="246" spans="1:11" ht="14.5">
      <c r="A246" s="127" t="s">
        <v>233</v>
      </c>
      <c r="B246" s="144"/>
      <c r="K246" s="144">
        <v>-666.72890933849135</v>
      </c>
    </row>
    <row r="247" spans="1:11" ht="14.5">
      <c r="A247" s="142" t="s">
        <v>234</v>
      </c>
      <c r="B247" s="144"/>
      <c r="K247" s="144">
        <v>-1141.4952496484957</v>
      </c>
    </row>
    <row r="248" spans="1:11" ht="14.5">
      <c r="A248" s="141" t="s">
        <v>235</v>
      </c>
      <c r="B248" s="131"/>
      <c r="K248" s="131">
        <v>-796.97317125585778</v>
      </c>
    </row>
    <row r="249" spans="1:11" ht="14.5">
      <c r="A249" s="141" t="s">
        <v>236</v>
      </c>
      <c r="B249" s="131"/>
      <c r="K249" s="131">
        <v>-2348.0360527856596</v>
      </c>
    </row>
    <row r="250" spans="1:11" ht="14.5">
      <c r="A250" s="141" t="s">
        <v>237</v>
      </c>
      <c r="B250" s="147"/>
      <c r="K250" s="147">
        <v>692.39995327335271</v>
      </c>
    </row>
    <row r="251" spans="1:11" ht="14.5">
      <c r="A251" s="148" t="s">
        <v>238</v>
      </c>
      <c r="B251" s="136"/>
      <c r="K251" s="136">
        <f>K229-K232-K235+K239-K244-K248-K249-K250</f>
        <v>-18617.684700178488</v>
      </c>
    </row>
    <row r="252" spans="1:11" ht="14.5">
      <c r="A252" s="149" t="s">
        <v>7</v>
      </c>
      <c r="B252" s="150"/>
      <c r="K252" s="150">
        <f>K251/K224</f>
        <v>6.7072577279229568</v>
      </c>
    </row>
    <row r="253" spans="1:11" ht="15" thickBot="1">
      <c r="A253" s="149"/>
      <c r="B253" s="140"/>
      <c r="K253" s="140"/>
    </row>
    <row r="254" spans="1:11" ht="14.5">
      <c r="A254" s="151" t="s">
        <v>239</v>
      </c>
      <c r="B254" s="152"/>
      <c r="K254" s="152"/>
    </row>
    <row r="255" spans="1:11" ht="14.5">
      <c r="A255" s="142" t="s">
        <v>240</v>
      </c>
      <c r="B255" s="131"/>
      <c r="K255" s="131">
        <v>927.06666666666672</v>
      </c>
    </row>
    <row r="256" spans="1:11" ht="14.5">
      <c r="A256" s="142" t="s">
        <v>241</v>
      </c>
      <c r="B256" s="131"/>
      <c r="K256" s="131">
        <v>0</v>
      </c>
    </row>
    <row r="257" spans="1:11" ht="14.5">
      <c r="A257" s="142" t="s">
        <v>242</v>
      </c>
      <c r="B257" s="153"/>
      <c r="K257" s="153">
        <v>0</v>
      </c>
    </row>
    <row r="258" spans="1:11" ht="14.5">
      <c r="A258" s="148" t="s">
        <v>243</v>
      </c>
      <c r="B258" s="136"/>
      <c r="K258" s="136">
        <f>K251+SUM(K255:K257)</f>
        <v>-17690.618033511822</v>
      </c>
    </row>
    <row r="259" spans="1:11" ht="14.5">
      <c r="A259" s="154" t="s">
        <v>6</v>
      </c>
      <c r="B259" s="150"/>
      <c r="K259" s="150">
        <f>K258/K224</f>
        <v>6.3732701690811124</v>
      </c>
    </row>
    <row r="260" spans="1:11" ht="14.5">
      <c r="A260" s="155"/>
      <c r="B260" s="140"/>
      <c r="K260" s="140"/>
    </row>
    <row r="261" spans="1:11" ht="14.5">
      <c r="A261" s="142" t="s">
        <v>244</v>
      </c>
      <c r="B261" s="131"/>
      <c r="K261" s="131">
        <v>496.91821947521396</v>
      </c>
    </row>
    <row r="262" spans="1:11" ht="14.5">
      <c r="A262" s="142" t="s">
        <v>245</v>
      </c>
      <c r="B262" s="131"/>
      <c r="K262" s="131"/>
    </row>
    <row r="263" spans="1:11" ht="14.5">
      <c r="A263" s="142" t="s">
        <v>246</v>
      </c>
      <c r="B263" s="131"/>
      <c r="K263" s="131">
        <f>K244</f>
        <v>-1667.3769621482606</v>
      </c>
    </row>
    <row r="264" spans="1:11" ht="14.5">
      <c r="A264" s="142" t="s">
        <v>247</v>
      </c>
      <c r="B264" s="131"/>
      <c r="K264" s="131">
        <f>K248</f>
        <v>-796.97317125585778</v>
      </c>
    </row>
    <row r="265" spans="1:11" ht="14.5">
      <c r="A265" s="142" t="s">
        <v>248</v>
      </c>
      <c r="B265" s="131"/>
      <c r="K265" s="131">
        <f>K249</f>
        <v>-2348.0360527856596</v>
      </c>
    </row>
    <row r="266" spans="1:11" ht="14.5">
      <c r="A266" s="142" t="s">
        <v>249</v>
      </c>
      <c r="B266" s="131"/>
      <c r="K266" s="131">
        <f>K250-K255</f>
        <v>-234.66671339331401</v>
      </c>
    </row>
    <row r="267" spans="1:11" ht="14.5">
      <c r="A267" s="148" t="s">
        <v>250</v>
      </c>
      <c r="B267" s="136"/>
      <c r="K267" s="136">
        <f>K258+SUM(K261:K266)</f>
        <v>-22240.752713619702</v>
      </c>
    </row>
    <row r="268" spans="1:11" ht="14.5">
      <c r="A268" s="154" t="s">
        <v>5</v>
      </c>
      <c r="B268" s="150"/>
      <c r="K268" s="150">
        <f>K267/K224</f>
        <v>8.0125140647493662</v>
      </c>
    </row>
    <row r="269" spans="1:11" ht="14.5">
      <c r="A269" s="155"/>
      <c r="B269" s="140"/>
      <c r="K269" s="140"/>
    </row>
    <row r="270" spans="1:11" ht="14.5">
      <c r="A270" s="142" t="s">
        <v>251</v>
      </c>
      <c r="B270" s="131"/>
      <c r="K270" s="131">
        <f>-K247</f>
        <v>1141.4952496484957</v>
      </c>
    </row>
    <row r="271" spans="1:11" ht="14.5">
      <c r="A271" s="142" t="s">
        <v>252</v>
      </c>
      <c r="B271" s="131"/>
      <c r="K271" s="131">
        <f>K216+K218-K222+K247</f>
        <v>-1217.2942009670051</v>
      </c>
    </row>
    <row r="272" spans="1:11" ht="14.5">
      <c r="A272" s="148" t="s">
        <v>253</v>
      </c>
      <c r="B272" s="136"/>
      <c r="K272" s="136">
        <f>K267+SUM(K270:K271)</f>
        <v>-22316.551664938212</v>
      </c>
    </row>
    <row r="273" spans="1:11" ht="14.5">
      <c r="A273" s="154" t="s">
        <v>254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A2" sqref="A2:A53"/>
    </sheetView>
  </sheetViews>
  <sheetFormatPr defaultColWidth="9.1796875" defaultRowHeight="14.5" outlineLevelCol="1"/>
  <cols>
    <col min="1" max="1" width="41.54296875" style="4" bestFit="1" customWidth="1"/>
    <col min="2" max="2" width="14.81640625" style="4" customWidth="1"/>
    <col min="3" max="3" width="11.453125" style="4" hidden="1" customWidth="1" outlineLevel="1"/>
    <col min="4" max="4" width="10.81640625" style="4" hidden="1" customWidth="1" outlineLevel="1"/>
    <col min="5" max="5" width="11.81640625" style="4" hidden="1" customWidth="1" outlineLevel="1"/>
    <col min="6" max="6" width="11" style="4" hidden="1" customWidth="1" outlineLevel="1"/>
    <col min="7" max="7" width="11.1796875" style="4" hidden="1" customWidth="1" outlineLevel="1"/>
    <col min="8" max="8" width="11.453125" style="4" hidden="1" customWidth="1" outlineLevel="1"/>
    <col min="9" max="10" width="11.1796875" style="4" hidden="1" customWidth="1" outlineLevel="1"/>
    <col min="11" max="11" width="11.54296875" style="4" hidden="1" customWidth="1" outlineLevel="1"/>
    <col min="12" max="14" width="11.1796875" style="4" hidden="1" customWidth="1" outlineLevel="1"/>
    <col min="15" max="15" width="9.54296875" style="31" customWidth="1" collapsed="1"/>
    <col min="16" max="16" width="10.1796875" style="31" customWidth="1"/>
    <col min="17" max="17" width="10.81640625" style="66" customWidth="1"/>
    <col min="18" max="18" width="13" style="66" customWidth="1"/>
    <col min="19" max="19" width="8.81640625" customWidth="1"/>
    <col min="20" max="20" width="9.1796875" customWidth="1"/>
    <col min="21" max="21" width="11" style="66" customWidth="1"/>
    <col min="22" max="22" width="10.54296875" style="67" customWidth="1"/>
    <col min="23" max="23" width="8.81640625" customWidth="1"/>
    <col min="24" max="24" width="9.1796875" customWidth="1"/>
    <col min="25" max="25" width="11" style="66" customWidth="1"/>
    <col min="26" max="26" width="10.54296875" style="67" customWidth="1"/>
    <col min="27" max="27" width="8.81640625" hidden="1" customWidth="1"/>
    <col min="28" max="28" width="9.1796875" hidden="1" customWidth="1"/>
    <col min="29" max="29" width="11" style="66" hidden="1" customWidth="1"/>
    <col min="30" max="30" width="10.54296875" style="67" hidden="1" customWidth="1"/>
    <col min="31" max="31" width="9.54296875" style="67" customWidth="1"/>
    <col min="32" max="32" width="11" style="67" bestFit="1" customWidth="1"/>
    <col min="33" max="33" width="12.81640625" style="66" bestFit="1" customWidth="1"/>
    <col min="34" max="34" width="10.54296875" style="67" customWidth="1"/>
    <col min="38" max="38" width="11.453125" bestFit="1" customWidth="1"/>
  </cols>
  <sheetData>
    <row r="1" spans="1:38" ht="92.25" customHeight="1" thickBot="1"/>
    <row r="2" spans="1:38" ht="15.75" customHeight="1" thickBot="1">
      <c r="A2" s="327" t="s">
        <v>318</v>
      </c>
      <c r="B2" s="328"/>
      <c r="C2" s="361">
        <v>2011</v>
      </c>
      <c r="D2" s="361">
        <v>2012</v>
      </c>
      <c r="E2" s="361">
        <v>2013</v>
      </c>
      <c r="F2" s="361">
        <v>2014</v>
      </c>
      <c r="G2" s="361">
        <v>2015</v>
      </c>
      <c r="H2" s="361">
        <v>2016</v>
      </c>
      <c r="I2" s="361">
        <v>2017</v>
      </c>
      <c r="J2" s="361">
        <v>2018</v>
      </c>
      <c r="K2" s="361">
        <v>2019</v>
      </c>
      <c r="L2" s="361">
        <v>2020</v>
      </c>
      <c r="M2" s="361">
        <v>2021</v>
      </c>
      <c r="N2" s="361">
        <v>2022</v>
      </c>
      <c r="O2" s="1" t="s">
        <v>439</v>
      </c>
      <c r="P2" s="1" t="s">
        <v>443</v>
      </c>
      <c r="Q2" s="87" t="s">
        <v>0</v>
      </c>
      <c r="R2" s="88" t="s">
        <v>1</v>
      </c>
      <c r="S2" s="1" t="s">
        <v>440</v>
      </c>
      <c r="T2" s="1" t="s">
        <v>444</v>
      </c>
      <c r="U2" s="87" t="s">
        <v>0</v>
      </c>
      <c r="V2" s="88" t="s">
        <v>1</v>
      </c>
      <c r="W2" s="1" t="s">
        <v>441</v>
      </c>
      <c r="X2" s="1" t="s">
        <v>445</v>
      </c>
      <c r="Y2" s="87" t="s">
        <v>0</v>
      </c>
      <c r="Z2" s="88" t="s">
        <v>1</v>
      </c>
      <c r="AA2" s="1" t="s">
        <v>442</v>
      </c>
      <c r="AB2" s="1" t="s">
        <v>446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411" t="s">
        <v>447</v>
      </c>
      <c r="B3" s="313"/>
      <c r="C3" s="362">
        <v>319857</v>
      </c>
      <c r="D3" s="363">
        <v>377133</v>
      </c>
      <c r="E3" s="363">
        <v>522864.00000000006</v>
      </c>
      <c r="F3" s="364">
        <v>501556</v>
      </c>
      <c r="G3" s="364">
        <v>491434</v>
      </c>
      <c r="H3" s="365">
        <v>443621.99999999994</v>
      </c>
      <c r="I3" s="364">
        <v>412361</v>
      </c>
      <c r="J3" s="364">
        <v>363499.73664000002</v>
      </c>
      <c r="K3" s="364">
        <v>378366.44312000007</v>
      </c>
      <c r="L3" s="364">
        <v>285105.17800999974</v>
      </c>
      <c r="M3" s="385">
        <v>350920.30887999985</v>
      </c>
      <c r="N3" s="385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v>0.27218838296158498</v>
      </c>
      <c r="V3" s="93">
        <v>23076.538959999976</v>
      </c>
      <c r="W3" s="23">
        <v>91919.815169999973</v>
      </c>
      <c r="X3" s="23">
        <v>109698.66213000029</v>
      </c>
      <c r="Y3" s="56">
        <f>X3/W3-1</f>
        <v>0.1934169137211541</v>
      </c>
      <c r="Z3" s="93">
        <f>X3-W3</f>
        <v>17778.846960000315</v>
      </c>
      <c r="AA3" s="23">
        <v>128248.3504400001</v>
      </c>
      <c r="AB3" s="23">
        <v>128248.3504400001</v>
      </c>
      <c r="AC3" s="56">
        <f>AB3/AA3-1</f>
        <v>0</v>
      </c>
      <c r="AD3" s="93">
        <f>AB3-AA3</f>
        <v>0</v>
      </c>
      <c r="AE3" s="23">
        <f>O3+S3+W3</f>
        <v>267582.54849999998</v>
      </c>
      <c r="AF3" s="23">
        <f>P3+T3+X3</f>
        <v>304363.26051000034</v>
      </c>
      <c r="AG3" s="56">
        <f>IFERROR(AF3/AE3-1,0)</f>
        <v>0.13745557106090711</v>
      </c>
      <c r="AH3" s="93">
        <f>AF3-AE3</f>
        <v>36780.712010000367</v>
      </c>
    </row>
    <row r="4" spans="1:38" ht="15.75" customHeight="1">
      <c r="A4" s="6" t="s">
        <v>448</v>
      </c>
      <c r="B4" s="331"/>
      <c r="C4" s="366">
        <v>-11633</v>
      </c>
      <c r="D4" s="366">
        <v>-9958.2513770875557</v>
      </c>
      <c r="E4" s="366">
        <v>-14437.999999999904</v>
      </c>
      <c r="F4" s="23">
        <v>-17795</v>
      </c>
      <c r="G4" s="23">
        <v>-22046</v>
      </c>
      <c r="H4" s="366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0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v>2.3096455886127134</v>
      </c>
      <c r="V4" s="92">
        <v>-2479.0596399999999</v>
      </c>
      <c r="W4" s="23">
        <v>-3569.9603299999999</v>
      </c>
      <c r="X4" s="23">
        <v>-3428.5268199999991</v>
      </c>
      <c r="Y4" s="58">
        <f>X4/W4-1</f>
        <v>-3.9617669925200771E-2</v>
      </c>
      <c r="Z4" s="92">
        <f>X4-W4</f>
        <v>141.43351000000075</v>
      </c>
      <c r="AA4" s="23">
        <v>-4870.2754299999979</v>
      </c>
      <c r="AB4" s="23">
        <v>-4870.2754299999979</v>
      </c>
      <c r="AC4" s="58">
        <f>AB4/AA4-1</f>
        <v>0</v>
      </c>
      <c r="AD4" s="92">
        <f>AB4-AA4</f>
        <v>0</v>
      </c>
      <c r="AE4" s="23">
        <f t="shared" ref="AE4:AE6" si="1">O4+S4+W4</f>
        <v>-10692.335889999998</v>
      </c>
      <c r="AF4" s="23">
        <f t="shared" ref="AF4:AF6" si="2">P4+T4+X4</f>
        <v>-9849.0298399999592</v>
      </c>
      <c r="AG4" s="58">
        <f t="shared" ref="AG4:AG6" si="3">IFERROR(AF4/AE4-1,0)</f>
        <v>-7.8870142004119126E-2</v>
      </c>
      <c r="AH4" s="92">
        <f>AF4-AE4</f>
        <v>843.30605000003925</v>
      </c>
    </row>
    <row r="5" spans="1:38" ht="15.75" customHeight="1">
      <c r="A5" s="412" t="s">
        <v>449</v>
      </c>
      <c r="B5" s="331"/>
      <c r="C5" s="365">
        <v>-47935</v>
      </c>
      <c r="D5" s="365">
        <v>-55935.611050000007</v>
      </c>
      <c r="E5" s="365">
        <v>-76839</v>
      </c>
      <c r="F5" s="364">
        <v>-72963</v>
      </c>
      <c r="G5" s="364">
        <v>-75586</v>
      </c>
      <c r="H5" s="365">
        <v>-65951.316800000001</v>
      </c>
      <c r="I5" s="364">
        <v>-61605</v>
      </c>
      <c r="J5" s="364">
        <v>-51514.476329999998</v>
      </c>
      <c r="K5" s="364">
        <v>-55731.880619999996</v>
      </c>
      <c r="L5" s="364">
        <v>-36955.979920000027</v>
      </c>
      <c r="M5" s="364">
        <v>-31144.227900000031</v>
      </c>
      <c r="N5" s="364">
        <v>-35852.520007156549</v>
      </c>
      <c r="O5" s="23">
        <v>-8909.9371858164122</v>
      </c>
      <c r="P5" s="23">
        <v>-8022.9815700000199</v>
      </c>
      <c r="Q5" s="58">
        <f t="shared" si="0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63">
        <v>0.29896871118862811</v>
      </c>
      <c r="V5" s="92">
        <v>-2174.2975299999962</v>
      </c>
      <c r="W5" s="23">
        <v>-8184.1958012663645</v>
      </c>
      <c r="X5" s="23">
        <v>-11916.627279999957</v>
      </c>
      <c r="Y5" s="63">
        <f>X5/W5-1</f>
        <v>0.45605354140672705</v>
      </c>
      <c r="Z5" s="92">
        <f>X5-W5</f>
        <v>-3732.4314787335925</v>
      </c>
      <c r="AA5" s="23">
        <v>-12740.825503843624</v>
      </c>
      <c r="AB5" s="23">
        <v>-12740.825503843624</v>
      </c>
      <c r="AC5" s="63">
        <f>AB5/AA5-1</f>
        <v>0</v>
      </c>
      <c r="AD5" s="92">
        <f>AB5-AA5</f>
        <v>0</v>
      </c>
      <c r="AE5" s="23">
        <f t="shared" si="1"/>
        <v>-26467.132987082776</v>
      </c>
      <c r="AF5" s="23">
        <f t="shared" si="2"/>
        <v>-32462.694199999987</v>
      </c>
      <c r="AG5" s="63">
        <f t="shared" si="3"/>
        <v>0.22652854828829905</v>
      </c>
      <c r="AH5" s="92">
        <f>AF5-AE5</f>
        <v>-5995.5612129172114</v>
      </c>
    </row>
    <row r="6" spans="1:38" ht="15.75" customHeight="1">
      <c r="A6" s="6" t="s">
        <v>450</v>
      </c>
      <c r="B6" s="331"/>
      <c r="C6" s="366">
        <v>1741</v>
      </c>
      <c r="D6" s="367">
        <v>1476</v>
      </c>
      <c r="E6" s="367">
        <v>2108.8207414252761</v>
      </c>
      <c r="F6" s="23">
        <v>2635</v>
      </c>
      <c r="G6" s="23">
        <v>3491</v>
      </c>
      <c r="H6" s="367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0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v>2.3466169540512727</v>
      </c>
      <c r="V6" s="92">
        <v>211.36733414407087</v>
      </c>
      <c r="W6" s="23">
        <v>239.44627670460591</v>
      </c>
      <c r="X6" s="23">
        <v>330.39832271768512</v>
      </c>
      <c r="Y6" s="58">
        <f>X6/W6-1</f>
        <v>0.3798432252311974</v>
      </c>
      <c r="Z6" s="92">
        <f>X6-W6</f>
        <v>90.952046013079212</v>
      </c>
      <c r="AA6" s="23">
        <v>430.02648144641216</v>
      </c>
      <c r="AB6" s="23">
        <v>430.02648144641216</v>
      </c>
      <c r="AC6" s="58">
        <f>AB6/AA6-1</f>
        <v>0</v>
      </c>
      <c r="AD6" s="92">
        <f>AB6-AA6</f>
        <v>0</v>
      </c>
      <c r="AE6" s="23">
        <f t="shared" si="1"/>
        <v>856.44210955260587</v>
      </c>
      <c r="AF6" s="23">
        <f t="shared" si="2"/>
        <v>954.61681782623145</v>
      </c>
      <c r="AG6" s="58">
        <f t="shared" si="3"/>
        <v>0.11463087484676659</v>
      </c>
      <c r="AH6" s="92">
        <f>AF6-AE6</f>
        <v>98.174708273625583</v>
      </c>
    </row>
    <row r="7" spans="1:38" ht="15.75" customHeight="1">
      <c r="A7" s="412"/>
      <c r="B7" s="331"/>
      <c r="C7" s="368"/>
      <c r="D7" s="367"/>
      <c r="E7" s="367"/>
      <c r="F7" s="369"/>
      <c r="G7" s="369"/>
      <c r="H7" s="367"/>
      <c r="I7" s="369"/>
      <c r="J7" s="369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413" t="s">
        <v>451</v>
      </c>
      <c r="B8" s="315"/>
      <c r="C8" s="370">
        <f>SUM(C3:C6)</f>
        <v>262030</v>
      </c>
      <c r="D8" s="370">
        <f t="shared" ref="D8:L8" si="4">SUM(D3:D6)</f>
        <v>312715.13757291244</v>
      </c>
      <c r="E8" s="370">
        <f t="shared" si="4"/>
        <v>433695.82074142544</v>
      </c>
      <c r="F8" s="370">
        <f t="shared" si="4"/>
        <v>413433</v>
      </c>
      <c r="G8" s="370">
        <f t="shared" si="4"/>
        <v>397293</v>
      </c>
      <c r="H8" s="370">
        <f t="shared" si="4"/>
        <v>360872.97414030397</v>
      </c>
      <c r="I8" s="370">
        <f t="shared" si="4"/>
        <v>340076</v>
      </c>
      <c r="J8" s="370">
        <f t="shared" si="4"/>
        <v>305696.17570524517</v>
      </c>
      <c r="K8" s="370">
        <f t="shared" si="4"/>
        <v>316226.27587170707</v>
      </c>
      <c r="L8" s="370">
        <f t="shared" si="4"/>
        <v>244607.38250886771</v>
      </c>
      <c r="M8" s="370">
        <v>314401.67791416938</v>
      </c>
      <c r="N8" s="370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v>99555.796718002559</v>
      </c>
      <c r="U8" s="61">
        <f>IFERROR(T8/S8-1,0)</f>
        <v>0.13966103619948345</v>
      </c>
      <c r="V8" s="91">
        <f>T8-S8</f>
        <v>12200.17644515456</v>
      </c>
      <c r="W8" s="8">
        <f>SUM(W3:W6)</f>
        <v>80405.10531543821</v>
      </c>
      <c r="X8" s="8">
        <f>SUM(X3:X6)</f>
        <v>94683.906352718011</v>
      </c>
      <c r="Y8" s="61">
        <f>IFERROR(X8/W8-1,0)</f>
        <v>0.17758575131843268</v>
      </c>
      <c r="Z8" s="91">
        <f>X8-W8</f>
        <v>14278.801037279802</v>
      </c>
      <c r="AA8" s="8">
        <f>SUM(AA3:AA6)</f>
        <v>111067.2759876029</v>
      </c>
      <c r="AB8" s="8">
        <f>SUM(AB3:AB6)</f>
        <v>111067.2759876029</v>
      </c>
      <c r="AC8" s="61">
        <f>IFERROR(AB8/AA8-1,0)</f>
        <v>0</v>
      </c>
      <c r="AD8" s="91">
        <f>AB8-AA8</f>
        <v>0</v>
      </c>
      <c r="AE8" s="8">
        <f>SUM(AE3:AE6)</f>
        <v>231279.52173246985</v>
      </c>
      <c r="AF8" s="8">
        <f>SUM(AF3:AF6)</f>
        <v>263006.15328782663</v>
      </c>
      <c r="AG8" s="61">
        <f>IFERROR(AF8/AE8-1,0)</f>
        <v>0.13717873211471021</v>
      </c>
      <c r="AH8" s="91">
        <f>AF8-AE8</f>
        <v>31726.631555356784</v>
      </c>
    </row>
    <row r="9" spans="1:38" ht="15.75" customHeight="1">
      <c r="A9" s="412"/>
      <c r="B9" s="331"/>
      <c r="C9" s="367"/>
      <c r="D9" s="367"/>
      <c r="E9" s="367"/>
      <c r="F9" s="369"/>
      <c r="G9" s="369"/>
      <c r="H9" s="367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97">
        <v>-38024</v>
      </c>
      <c r="T9" s="23">
        <v>-44816.572934528791</v>
      </c>
      <c r="U9" s="60"/>
      <c r="V9" s="59"/>
      <c r="W9" s="397">
        <v>-34765</v>
      </c>
      <c r="X9" s="23">
        <v>-42186.913980994403</v>
      </c>
      <c r="Y9" s="60"/>
      <c r="Z9" s="59"/>
      <c r="AA9" s="344">
        <v>-48579.6</v>
      </c>
      <c r="AB9" s="344">
        <v>-48579.6</v>
      </c>
      <c r="AC9" s="60"/>
      <c r="AD9" s="59">
        <f>AB9-AA9</f>
        <v>0</v>
      </c>
      <c r="AE9" s="23">
        <f>O9+S9+W9</f>
        <v>-102387</v>
      </c>
      <c r="AF9" s="23">
        <f>P9+T9+X9</f>
        <v>-119258.99879027647</v>
      </c>
      <c r="AG9" s="60"/>
      <c r="AH9" s="59"/>
    </row>
    <row r="10" spans="1:38" ht="15.75" customHeight="1">
      <c r="A10" s="413" t="s">
        <v>452</v>
      </c>
      <c r="B10" s="315"/>
      <c r="C10" s="371">
        <v>166166</v>
      </c>
      <c r="D10" s="371">
        <v>187928</v>
      </c>
      <c r="E10" s="371">
        <v>250774</v>
      </c>
      <c r="F10" s="8">
        <v>229802</v>
      </c>
      <c r="G10" s="8">
        <v>206778</v>
      </c>
      <c r="H10" s="371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" si="5">SUM(W8:W9)</f>
        <v>45640.10531543821</v>
      </c>
      <c r="X10" s="8">
        <f>SUM(X8:X9)</f>
        <v>52496.992371723609</v>
      </c>
      <c r="Y10" s="61">
        <f>X10/W10-1</f>
        <v>0.1502381953085894</v>
      </c>
      <c r="Z10" s="91">
        <f>X10-W10</f>
        <v>6856.887056285399</v>
      </c>
      <c r="AA10" s="8">
        <f t="shared" ref="AA10:AB10" si="6">SUM(AA8:AA9)</f>
        <v>62487.675987602903</v>
      </c>
      <c r="AB10" s="8">
        <f t="shared" si="6"/>
        <v>62487.675987602903</v>
      </c>
      <c r="AC10" s="61">
        <f>AB10/AA10-1</f>
        <v>0</v>
      </c>
      <c r="AD10" s="91">
        <f>AB10-AA10</f>
        <v>0</v>
      </c>
      <c r="AE10" s="8">
        <f>SUM(AE8:AE9)</f>
        <v>128892.52173246985</v>
      </c>
      <c r="AF10" s="8">
        <f>SUM(AF8:AF9)</f>
        <v>143747.15449755016</v>
      </c>
      <c r="AG10" s="61">
        <f>IFERROR(AF10/AE10-1,0)</f>
        <v>0.11524821273892583</v>
      </c>
      <c r="AH10" s="91">
        <f>AF10-AE10</f>
        <v>14854.632765080314</v>
      </c>
    </row>
    <row r="11" spans="1:38" ht="15.75" customHeight="1">
      <c r="A11" s="414" t="s">
        <v>453</v>
      </c>
      <c r="B11" s="316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4">
        <f>(P11-O11)*100</f>
        <v>-0.3086539984239911</v>
      </c>
      <c r="S11" s="9">
        <v>0.56472176740048086</v>
      </c>
      <c r="T11" s="9">
        <v>0.54983462126796823</v>
      </c>
      <c r="U11" s="9"/>
      <c r="V11" s="54">
        <v>-0.69263168685073095</v>
      </c>
      <c r="W11" s="9">
        <f>W10/W8</f>
        <v>0.5676269577209927</v>
      </c>
      <c r="X11" s="9">
        <f>X10/X8</f>
        <v>0.55444472449373783</v>
      </c>
      <c r="Y11" s="9"/>
      <c r="Z11" s="54">
        <f>(X11-W11)*100</f>
        <v>-1.3182233227254869</v>
      </c>
      <c r="AA11" s="9">
        <f>AA10/AA8</f>
        <v>0.56261104300944276</v>
      </c>
      <c r="AB11" s="9">
        <f>AB10/AB8</f>
        <v>0.56261104300944276</v>
      </c>
      <c r="AC11" s="9"/>
      <c r="AD11" s="54">
        <f>(AB11-AA11)*100</f>
        <v>0</v>
      </c>
      <c r="AE11" s="9">
        <f>AE10/AE8</f>
        <v>0.55730192092650954</v>
      </c>
      <c r="AF11" s="9">
        <f>AF10/AF8</f>
        <v>0.54655433989119362</v>
      </c>
      <c r="AG11" s="9"/>
      <c r="AH11" s="54">
        <f>(AF11-AE11)*100</f>
        <v>-1.0747581035315923</v>
      </c>
    </row>
    <row r="12" spans="1:38">
      <c r="A12" s="412"/>
      <c r="B12" s="331"/>
      <c r="C12" s="367"/>
      <c r="D12" s="367"/>
      <c r="E12" s="367"/>
      <c r="F12" s="369"/>
      <c r="G12" s="43"/>
      <c r="H12" s="25"/>
      <c r="I12" s="369"/>
      <c r="J12" s="369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58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L12" s="360"/>
    </row>
    <row r="13" spans="1:38" ht="15.75" customHeight="1">
      <c r="A13" s="413" t="s">
        <v>454</v>
      </c>
      <c r="B13" s="315"/>
      <c r="C13" s="371">
        <v>-69788</v>
      </c>
      <c r="D13" s="371">
        <v>-87861</v>
      </c>
      <c r="E13" s="371">
        <v>-132846</v>
      </c>
      <c r="F13" s="8">
        <v>-118936</v>
      </c>
      <c r="G13" s="8">
        <v>-129581</v>
      </c>
      <c r="H13" s="371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v>-25880</v>
      </c>
      <c r="U13" s="61">
        <f t="shared" ref="U13:U14" si="9">IFERROR(T13/S13-1,0)</f>
        <v>0.12190046818103006</v>
      </c>
      <c r="V13" s="91">
        <f t="shared" ref="V13:V14" si="10">T13-S13</f>
        <v>-2812</v>
      </c>
      <c r="W13" s="8">
        <v>-21684</v>
      </c>
      <c r="X13" s="8">
        <f>AF13-SUM(P13,T13)</f>
        <v>-27728</v>
      </c>
      <c r="Y13" s="61">
        <f>X13/W13-1</f>
        <v>0.27873086146467441</v>
      </c>
      <c r="Z13" s="91">
        <f>X13-W13</f>
        <v>-6044</v>
      </c>
      <c r="AA13" s="8">
        <v>-25213</v>
      </c>
      <c r="AB13" s="8">
        <f>AF13-X13-T13-P13</f>
        <v>0</v>
      </c>
      <c r="AC13" s="61">
        <f>AB13/AA13-1</f>
        <v>-1</v>
      </c>
      <c r="AD13" s="91">
        <f>AB13-AA13</f>
        <v>25213</v>
      </c>
      <c r="AE13" s="8">
        <f>O13+S13+W13</f>
        <v>-63410</v>
      </c>
      <c r="AF13" s="396">
        <v>-75550</v>
      </c>
      <c r="AG13" s="61">
        <f>IFERROR(AF13/AE13-1,0)</f>
        <v>0.19145245229459085</v>
      </c>
      <c r="AH13" s="91">
        <f>AF13-AE13</f>
        <v>-12140</v>
      </c>
      <c r="AI13" s="298"/>
      <c r="AJ13" s="298"/>
      <c r="AK13" s="388"/>
      <c r="AL13" s="387"/>
    </row>
    <row r="14" spans="1:38" ht="15.75" customHeight="1">
      <c r="A14" s="413" t="s">
        <v>455</v>
      </c>
      <c r="B14" s="315"/>
      <c r="C14" s="371"/>
      <c r="D14" s="371"/>
      <c r="E14" s="371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v>0</v>
      </c>
      <c r="U14" s="61">
        <f t="shared" si="9"/>
        <v>0</v>
      </c>
      <c r="V14" s="91">
        <f t="shared" si="10"/>
        <v>0</v>
      </c>
      <c r="W14" s="8"/>
      <c r="X14" s="8">
        <f>AF14-SUM(P14,T14)</f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396">
        <v>0</v>
      </c>
      <c r="AG14" s="61">
        <f>IFERROR(AF14/AE14-1,0)</f>
        <v>0</v>
      </c>
      <c r="AH14" s="91"/>
      <c r="AL14" s="360"/>
    </row>
    <row r="15" spans="1:38" ht="15.75" hidden="1" customHeight="1">
      <c r="A15" s="413" t="s">
        <v>456</v>
      </c>
      <c r="B15" s="315"/>
      <c r="C15" s="371"/>
      <c r="D15" s="371"/>
      <c r="E15" s="371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60"/>
    </row>
    <row r="16" spans="1:38">
      <c r="A16" s="415" t="s">
        <v>457</v>
      </c>
      <c r="B16" s="317"/>
      <c r="C16" s="374">
        <v>-0.2663359157348395</v>
      </c>
      <c r="D16" s="374">
        <v>-0.28096177461033334</v>
      </c>
      <c r="E16" s="374">
        <v>-0.30631145989115816</v>
      </c>
      <c r="F16" s="374">
        <v>-0.28767901933324136</v>
      </c>
      <c r="G16" s="374">
        <v>-0.32615978635415172</v>
      </c>
      <c r="H16" s="374">
        <v>0.34386337823057539</v>
      </c>
      <c r="I16" s="374">
        <f>I13/I8</f>
        <v>-0.39013632246909513</v>
      </c>
      <c r="J16" s="374">
        <v>-0.37142106779077982</v>
      </c>
      <c r="K16" s="374">
        <v>-0.34047592695074708</v>
      </c>
      <c r="L16" s="374">
        <v>-0.32003172435784749</v>
      </c>
      <c r="M16" s="374">
        <v>-0.22330987692491522</v>
      </c>
      <c r="N16" s="374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v>-0.25995472743095582</v>
      </c>
      <c r="U16" s="10"/>
      <c r="V16" s="273">
        <v>-1.231372604934633</v>
      </c>
      <c r="W16" s="10">
        <f>SUM(W13:W14)/W8</f>
        <v>-0.26968436786359828</v>
      </c>
      <c r="X16" s="10">
        <f>SUM(X13:X15)/X8</f>
        <v>-0.29284807807471747</v>
      </c>
      <c r="Y16" s="10"/>
      <c r="Z16" s="273">
        <f>(X16-W16)*100</f>
        <v>-2.3163710211119182</v>
      </c>
      <c r="AA16" s="10">
        <f>SUM(AA13:AA15)/AA8</f>
        <v>-0.22700655774446313</v>
      </c>
      <c r="AB16" s="10">
        <f>SUM(AB13:AB15)/AB8</f>
        <v>0</v>
      </c>
      <c r="AC16" s="10"/>
      <c r="AD16" s="273">
        <f>(AB16-AA16)*100</f>
        <v>22.700655774446314</v>
      </c>
      <c r="AE16" s="10">
        <f>SUM(AE13:AE15)/AE8</f>
        <v>-0.27417040438776441</v>
      </c>
      <c r="AF16" s="10">
        <f>SUM(AF13:AF15)/AF8</f>
        <v>-0.28725563662885173</v>
      </c>
      <c r="AG16" s="10"/>
      <c r="AH16" s="273">
        <f>(AF16-AE16)*100</f>
        <v>-1.3085232241087319</v>
      </c>
      <c r="AL16" s="360"/>
    </row>
    <row r="17" spans="1:38">
      <c r="A17" s="412"/>
      <c r="B17" s="331"/>
      <c r="C17" s="367"/>
      <c r="D17" s="367"/>
      <c r="E17" s="367"/>
      <c r="F17" s="369"/>
      <c r="G17" s="43"/>
      <c r="H17" s="25"/>
      <c r="I17" s="369"/>
      <c r="J17" s="369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58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4"/>
      <c r="AG17" s="58"/>
      <c r="AH17" s="59"/>
      <c r="AL17" s="360"/>
    </row>
    <row r="18" spans="1:38">
      <c r="A18" s="413" t="s">
        <v>458</v>
      </c>
      <c r="B18" s="315"/>
      <c r="C18" s="371">
        <v>-24415</v>
      </c>
      <c r="D18" s="371">
        <v>-27788</v>
      </c>
      <c r="E18" s="371">
        <v>-40504</v>
      </c>
      <c r="F18" s="8">
        <v>-33902</v>
      </c>
      <c r="G18" s="8">
        <v>-36416</v>
      </c>
      <c r="H18" s="371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f>AF18-SUM(P18,T18)</f>
        <v>-8948</v>
      </c>
      <c r="Y18" s="61">
        <f>X18/W18-1</f>
        <v>-8.7962491081439165E-2</v>
      </c>
      <c r="Z18" s="91">
        <f>X18-W18</f>
        <v>863</v>
      </c>
      <c r="AA18" s="8">
        <v>-10640</v>
      </c>
      <c r="AB18" s="8">
        <f>AF18-X18-T18-P18</f>
        <v>0</v>
      </c>
      <c r="AC18" s="61">
        <f>AB18/AA18-1</f>
        <v>-1</v>
      </c>
      <c r="AD18" s="91">
        <f>AB18-AA18</f>
        <v>10640</v>
      </c>
      <c r="AE18" s="8">
        <f>O18+S18+W18</f>
        <v>-30659</v>
      </c>
      <c r="AF18" s="396">
        <v>-29484</v>
      </c>
      <c r="AG18" s="61">
        <f>IFERROR(AF18/AE18-1,0)</f>
        <v>-3.8324798590952058E-2</v>
      </c>
      <c r="AH18" s="91">
        <f>AF18-AE18</f>
        <v>1175</v>
      </c>
      <c r="AI18" s="298"/>
      <c r="AJ18" s="298"/>
      <c r="AK18" s="298"/>
      <c r="AL18" s="103"/>
    </row>
    <row r="19" spans="1:38">
      <c r="A19" s="415" t="s">
        <v>457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1">O18/O8</f>
        <v>-0.16662784313441645</v>
      </c>
      <c r="P19" s="10">
        <f t="shared" si="11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v>-0.10594059158478714</v>
      </c>
      <c r="U19" s="10"/>
      <c r="V19" s="273">
        <v>0.66112967504430986</v>
      </c>
      <c r="W19" s="10">
        <f>W18/W8</f>
        <v>-0.12201961506685864</v>
      </c>
      <c r="X19" s="10">
        <f>X18/X8</f>
        <v>-9.4503916712801922E-2</v>
      </c>
      <c r="Y19" s="10"/>
      <c r="Z19" s="273">
        <f>(X19-W19)*100</f>
        <v>2.7515698354056721</v>
      </c>
      <c r="AA19" s="10">
        <f t="shared" ref="AA19" si="12">AA18/AA8</f>
        <v>-9.5797793773096718E-2</v>
      </c>
      <c r="AB19" s="10">
        <f>AB18/AB8</f>
        <v>0</v>
      </c>
      <c r="AC19" s="10"/>
      <c r="AD19" s="273">
        <f>(AB19-AA19)*100</f>
        <v>9.5797793773096718</v>
      </c>
      <c r="AE19" s="10">
        <f t="shared" ref="AE19" si="13">AE18/AE8</f>
        <v>-0.13256253632115547</v>
      </c>
      <c r="AF19" s="10">
        <f>AF18/AF8</f>
        <v>-0.11210384103726094</v>
      </c>
      <c r="AG19" s="10"/>
      <c r="AH19" s="273">
        <f>(AF19-AE19)*100</f>
        <v>2.0458695283894532</v>
      </c>
    </row>
    <row r="20" spans="1:38">
      <c r="A20" s="412"/>
      <c r="B20" s="331"/>
      <c r="C20" s="367"/>
      <c r="D20" s="367"/>
      <c r="E20" s="367"/>
      <c r="F20" s="369"/>
      <c r="G20" s="43"/>
      <c r="H20" s="367"/>
      <c r="I20" s="369"/>
      <c r="J20" s="369"/>
      <c r="K20" s="369"/>
      <c r="L20" s="369"/>
      <c r="M20" s="369"/>
      <c r="N20" s="369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4"/>
      <c r="AG20" s="60"/>
      <c r="AH20" s="59"/>
      <c r="AI20" s="298"/>
      <c r="AJ20" s="298"/>
      <c r="AK20" s="298"/>
      <c r="AL20" s="103"/>
    </row>
    <row r="21" spans="1:38">
      <c r="A21" s="413" t="s">
        <v>459</v>
      </c>
      <c r="B21" s="315"/>
      <c r="C21" s="371">
        <v>26537</v>
      </c>
      <c r="D21" s="371">
        <v>-7520</v>
      </c>
      <c r="E21" s="371">
        <v>-28934</v>
      </c>
      <c r="F21" s="8">
        <v>-11784</v>
      </c>
      <c r="G21" s="8">
        <v>-9126</v>
      </c>
      <c r="H21" s="371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994</v>
      </c>
      <c r="X21" s="8">
        <f>AF21-SUM(P21,T21)</f>
        <v>-1189</v>
      </c>
      <c r="Y21" s="61">
        <f>X21/W21-1</f>
        <v>-2.1961770623742454</v>
      </c>
      <c r="Z21" s="91">
        <f>X21-W21</f>
        <v>-2183</v>
      </c>
      <c r="AA21" s="8">
        <v>-573.93292999999858</v>
      </c>
      <c r="AB21" s="8">
        <f>AF21-X21-T21-P21</f>
        <v>0</v>
      </c>
      <c r="AC21" s="61">
        <f>AB21/AA21-1</f>
        <v>-1</v>
      </c>
      <c r="AD21" s="91">
        <f>AB21-AA21</f>
        <v>573.93292999999858</v>
      </c>
      <c r="AE21" s="8">
        <f>O21+S21+W21</f>
        <v>831</v>
      </c>
      <c r="AF21" s="396">
        <v>-601</v>
      </c>
      <c r="AG21" s="61">
        <f>IFERROR(AF21/AE21-1,0)</f>
        <v>-1.7232250300842358</v>
      </c>
      <c r="AH21" s="91">
        <f>AF21-AE21</f>
        <v>-1432</v>
      </c>
    </row>
    <row r="22" spans="1:38">
      <c r="A22" s="412"/>
      <c r="B22" s="331"/>
      <c r="C22" s="367"/>
      <c r="D22" s="367"/>
      <c r="E22" s="367"/>
      <c r="F22" s="369"/>
      <c r="G22" s="41"/>
      <c r="H22" s="367"/>
      <c r="I22" s="369"/>
      <c r="J22" s="369"/>
      <c r="K22" s="369"/>
      <c r="L22" s="369"/>
      <c r="M22" s="369"/>
      <c r="N22" s="369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4"/>
      <c r="AG22" s="60"/>
      <c r="AH22" s="59"/>
    </row>
    <row r="23" spans="1:38">
      <c r="A23" s="412" t="s">
        <v>460</v>
      </c>
      <c r="B23" s="331"/>
      <c r="C23" s="375">
        <f>C10+C13+C18+C21+C14+C15</f>
        <v>98500</v>
      </c>
      <c r="D23" s="375">
        <f t="shared" ref="D23:L23" si="14">D10+D13+D18+D21+D14+D15</f>
        <v>64759</v>
      </c>
      <c r="E23" s="375">
        <f t="shared" si="14"/>
        <v>48490</v>
      </c>
      <c r="F23" s="375">
        <f t="shared" si="14"/>
        <v>65180</v>
      </c>
      <c r="G23" s="375">
        <f t="shared" si="14"/>
        <v>31655</v>
      </c>
      <c r="H23" s="375">
        <f t="shared" si="14"/>
        <v>8544.9741403039661</v>
      </c>
      <c r="I23" s="375">
        <f t="shared" si="14"/>
        <v>-12773.390136322469</v>
      </c>
      <c r="J23" s="375">
        <f t="shared" si="14"/>
        <v>-2901.8242947548279</v>
      </c>
      <c r="K23" s="375">
        <f t="shared" si="14"/>
        <v>-126645</v>
      </c>
      <c r="L23" s="375">
        <f t="shared" si="14"/>
        <v>-9616</v>
      </c>
      <c r="M23" s="375">
        <v>50648.677914169384</v>
      </c>
      <c r="N23" s="375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v>19135.336493473769</v>
      </c>
      <c r="U23" s="58">
        <v>0.12326868038508132</v>
      </c>
      <c r="V23" s="92">
        <v>1787.242681833879</v>
      </c>
      <c r="W23" s="23">
        <f>W10+W13+W18+W21+W14</f>
        <v>15139.10531543821</v>
      </c>
      <c r="X23" s="23">
        <f>X10+X13+X18+X21+X14</f>
        <v>14631.992371723609</v>
      </c>
      <c r="Y23" s="58">
        <f>X23/W23-1</f>
        <v>-3.3496889885393011E-2</v>
      </c>
      <c r="Z23" s="92">
        <f>X23-W23</f>
        <v>-507.11294371460099</v>
      </c>
      <c r="AA23" s="23">
        <f>AA10+AA13+AA18+AA21+AA14</f>
        <v>26060.743057602904</v>
      </c>
      <c r="AB23" s="23">
        <f>AB10+AB13+AB18+AB21+AB14</f>
        <v>62487.675987602903</v>
      </c>
      <c r="AC23" s="58">
        <f>AB23/AA23-1</f>
        <v>1.3977703110569171</v>
      </c>
      <c r="AD23" s="92">
        <f>AB23-AA23</f>
        <v>36426.932929999995</v>
      </c>
      <c r="AE23" s="23">
        <f>AE10+AE13+AE18+AE21+AE14</f>
        <v>35654.521732469846</v>
      </c>
      <c r="AF23" s="23">
        <f>AF10+AF13+AF18+AF21+AF14</f>
        <v>38112.15449755016</v>
      </c>
      <c r="AG23" s="58">
        <f>IFERROR(AF23/AE23-1,0)</f>
        <v>6.8929062729291779E-2</v>
      </c>
      <c r="AH23" s="92">
        <f>AF23-AE23</f>
        <v>2457.6327650803141</v>
      </c>
    </row>
    <row r="24" spans="1:38">
      <c r="A24" s="412"/>
      <c r="B24" s="331"/>
      <c r="C24" s="367"/>
      <c r="D24" s="367"/>
      <c r="E24" s="367"/>
      <c r="F24" s="369"/>
      <c r="G24" s="44"/>
      <c r="H24" s="367"/>
      <c r="I24" s="369"/>
      <c r="J24" s="369"/>
      <c r="K24" s="369"/>
      <c r="L24" s="369"/>
      <c r="M24" s="369"/>
      <c r="N24" s="369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4"/>
      <c r="AG24" s="60"/>
      <c r="AH24" s="59"/>
    </row>
    <row r="25" spans="1:38">
      <c r="A25" s="416" t="s">
        <v>461</v>
      </c>
      <c r="B25" s="315"/>
      <c r="C25" s="371">
        <v>-9288</v>
      </c>
      <c r="D25" s="371">
        <v>-3374</v>
      </c>
      <c r="E25" s="371">
        <v>-29310</v>
      </c>
      <c r="F25" s="8">
        <v>-40566</v>
      </c>
      <c r="G25" s="8">
        <v>-58084</v>
      </c>
      <c r="H25" s="371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5">IFERROR(P25/O25-1,0)</f>
        <v>-0.82803969563576907</v>
      </c>
      <c r="R25" s="91">
        <f>P25-O25</f>
        <v>6583.7436200000002</v>
      </c>
      <c r="S25" s="8">
        <v>-7585</v>
      </c>
      <c r="T25" s="8">
        <v>-3450.7436200000002</v>
      </c>
      <c r="U25" s="61">
        <v>9.0970350404312672E-2</v>
      </c>
      <c r="V25" s="91">
        <v>-540</v>
      </c>
      <c r="W25" s="8">
        <v>-7588.1760299999996</v>
      </c>
      <c r="X25" s="8">
        <f>AF25-SUM(P25,T25)</f>
        <v>-8572</v>
      </c>
      <c r="Y25" s="61">
        <f>X25/W25-1</f>
        <v>0.12965223343665633</v>
      </c>
      <c r="Z25" s="91">
        <f>X25-W25</f>
        <v>-983.82397000000037</v>
      </c>
      <c r="AA25" s="8">
        <v>-4000.8239700000013</v>
      </c>
      <c r="AB25" s="8">
        <f t="shared" ref="AB25:AB26" si="16">AF25-X25-T25-P25</f>
        <v>0</v>
      </c>
      <c r="AC25" s="61">
        <f>AB25/AA25-1</f>
        <v>-1</v>
      </c>
      <c r="AD25" s="91">
        <f>AB25-AA25</f>
        <v>4000.8239700000013</v>
      </c>
      <c r="AE25" s="8">
        <f t="shared" ref="AE25:AE27" si="17">O25+S25+W25</f>
        <v>-23124.176029999999</v>
      </c>
      <c r="AF25" s="396">
        <v>-13390</v>
      </c>
      <c r="AG25" s="61">
        <f t="shared" ref="AG25:AG27" si="18">IFERROR(AF25/AE25-1,0)</f>
        <v>-0.42095234084758004</v>
      </c>
      <c r="AH25" s="91">
        <f>AF25-AE25</f>
        <v>9734.1760299999987</v>
      </c>
    </row>
    <row r="26" spans="1:38">
      <c r="A26" s="416" t="s">
        <v>462</v>
      </c>
      <c r="B26" s="315"/>
      <c r="C26" s="371">
        <v>16592</v>
      </c>
      <c r="D26" s="371">
        <v>20034</v>
      </c>
      <c r="E26" s="371">
        <v>23764</v>
      </c>
      <c r="F26" s="8">
        <v>30667</v>
      </c>
      <c r="G26" s="8">
        <v>57485</v>
      </c>
      <c r="H26" s="371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5"/>
        <v>-0.16378075771383938</v>
      </c>
      <c r="R26" s="91">
        <f>P26-O26</f>
        <v>-1258</v>
      </c>
      <c r="S26" s="8">
        <v>7949</v>
      </c>
      <c r="T26" s="8">
        <v>9780</v>
      </c>
      <c r="U26" s="61">
        <v>0.56894049346879538</v>
      </c>
      <c r="V26" s="91">
        <v>2352</v>
      </c>
      <c r="W26" s="8">
        <v>7710.3356745617602</v>
      </c>
      <c r="X26" s="8">
        <f>AF26-SUM(P26,T26)</f>
        <v>8647</v>
      </c>
      <c r="Y26" s="61">
        <f>X26/W26-1</f>
        <v>0.12148165332522676</v>
      </c>
      <c r="Z26" s="91">
        <f>X26-W26</f>
        <v>936.66432543823976</v>
      </c>
      <c r="AA26" s="8">
        <v>7300.6643254382398</v>
      </c>
      <c r="AB26" s="8">
        <f t="shared" si="16"/>
        <v>0</v>
      </c>
      <c r="AC26" s="61">
        <f>AB26/AA26-1</f>
        <v>-1</v>
      </c>
      <c r="AD26" s="91">
        <f>AB26-AA26</f>
        <v>-7300.6643254382398</v>
      </c>
      <c r="AE26" s="8">
        <f t="shared" si="17"/>
        <v>23340.33567456176</v>
      </c>
      <c r="AF26" s="396">
        <v>24850</v>
      </c>
      <c r="AG26" s="61">
        <f t="shared" si="18"/>
        <v>6.4680489024997012E-2</v>
      </c>
      <c r="AH26" s="91">
        <f>AF26-AE26</f>
        <v>1509.6643254382398</v>
      </c>
    </row>
    <row r="27" spans="1:38">
      <c r="A27" s="413" t="s">
        <v>463</v>
      </c>
      <c r="B27" s="315"/>
      <c r="C27" s="371">
        <f>SUM(C25:C26)</f>
        <v>7304</v>
      </c>
      <c r="D27" s="371">
        <f t="shared" ref="D27:L27" si="19">SUM(D25:D26)</f>
        <v>16660</v>
      </c>
      <c r="E27" s="371">
        <f t="shared" si="19"/>
        <v>-5546</v>
      </c>
      <c r="F27" s="371">
        <f t="shared" si="19"/>
        <v>-9899</v>
      </c>
      <c r="G27" s="371">
        <f t="shared" si="19"/>
        <v>-599</v>
      </c>
      <c r="H27" s="371">
        <f t="shared" si="19"/>
        <v>-6690</v>
      </c>
      <c r="I27" s="371">
        <f t="shared" si="19"/>
        <v>-2499</v>
      </c>
      <c r="J27" s="371">
        <f t="shared" si="19"/>
        <v>4249</v>
      </c>
      <c r="K27" s="371">
        <f t="shared" si="19"/>
        <v>-5183</v>
      </c>
      <c r="L27" s="371">
        <f t="shared" si="19"/>
        <v>-24308</v>
      </c>
      <c r="M27" s="371">
        <v>-15031</v>
      </c>
      <c r="N27" s="371">
        <v>-9971</v>
      </c>
      <c r="O27" s="8">
        <f t="shared" ref="O27" si="20">O26+O25</f>
        <v>-270</v>
      </c>
      <c r="P27" s="8">
        <v>5055.8470842935685</v>
      </c>
      <c r="Q27" s="61">
        <f t="shared" si="15"/>
        <v>-19.725359571457663</v>
      </c>
      <c r="R27" s="91">
        <f>P27-O27</f>
        <v>5325.8470842935685</v>
      </c>
      <c r="S27" s="8">
        <v>364</v>
      </c>
      <c r="T27" s="8">
        <v>6329.2563799999998</v>
      </c>
      <c r="U27" s="61">
        <v>-1.0055493895671477</v>
      </c>
      <c r="V27" s="91">
        <v>1812</v>
      </c>
      <c r="W27" s="8">
        <f t="shared" ref="W27:X27" si="21">W26+W25</f>
        <v>122.15964456176062</v>
      </c>
      <c r="X27" s="8">
        <f t="shared" si="21"/>
        <v>75</v>
      </c>
      <c r="Y27" s="61">
        <f>X27/W27-1</f>
        <v>-0.38604929419156886</v>
      </c>
      <c r="Z27" s="91">
        <f>X27-W27</f>
        <v>-47.159644561760615</v>
      </c>
      <c r="AA27" s="8">
        <v>3299.8403554382385</v>
      </c>
      <c r="AB27" s="8">
        <f t="shared" ref="AB27" si="22">AB26+AB25</f>
        <v>0</v>
      </c>
      <c r="AC27" s="61">
        <f>AB27/AA27-1</f>
        <v>-1</v>
      </c>
      <c r="AD27" s="91">
        <f>AB27-AA27</f>
        <v>-3299.8403554382385</v>
      </c>
      <c r="AE27" s="8">
        <f t="shared" si="17"/>
        <v>216.15964456176062</v>
      </c>
      <c r="AF27" s="8">
        <f t="shared" ref="AF27" si="23">AF26+AF25</f>
        <v>11460</v>
      </c>
      <c r="AG27" s="61">
        <f t="shared" si="18"/>
        <v>52.01637141027809</v>
      </c>
      <c r="AH27" s="91">
        <f>AF27-AE27</f>
        <v>11243.840355438238</v>
      </c>
    </row>
    <row r="28" spans="1:38">
      <c r="A28" s="412"/>
      <c r="B28" s="331"/>
      <c r="C28" s="367"/>
      <c r="D28" s="367"/>
      <c r="E28" s="367"/>
      <c r="F28" s="376"/>
      <c r="G28" s="41"/>
      <c r="H28" s="367"/>
      <c r="I28" s="376"/>
      <c r="J28" s="376"/>
      <c r="K28" s="376"/>
      <c r="L28" s="376"/>
      <c r="M28" s="376"/>
      <c r="N28" s="376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412" t="s">
        <v>464</v>
      </c>
      <c r="B29" s="331"/>
      <c r="C29" s="367">
        <f>C23+C27</f>
        <v>105804</v>
      </c>
      <c r="D29" s="367">
        <f t="shared" ref="D29:L29" si="24">D23+D27</f>
        <v>81419</v>
      </c>
      <c r="E29" s="367">
        <f t="shared" si="24"/>
        <v>42944</v>
      </c>
      <c r="F29" s="367">
        <f t="shared" si="24"/>
        <v>55281</v>
      </c>
      <c r="G29" s="367">
        <f t="shared" si="24"/>
        <v>31056</v>
      </c>
      <c r="H29" s="367">
        <f t="shared" si="24"/>
        <v>1854.9741403039661</v>
      </c>
      <c r="I29" s="367">
        <f t="shared" si="24"/>
        <v>-15272.390136322469</v>
      </c>
      <c r="J29" s="367">
        <f t="shared" si="24"/>
        <v>1347.1757052451721</v>
      </c>
      <c r="K29" s="367">
        <f t="shared" si="24"/>
        <v>-131828</v>
      </c>
      <c r="L29" s="367">
        <f t="shared" si="24"/>
        <v>-33924</v>
      </c>
      <c r="M29" s="367">
        <v>35617.677914169384</v>
      </c>
      <c r="N29" s="367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v>25464.592873473768</v>
      </c>
      <c r="U29" s="58">
        <v>0.28347731563587475</v>
      </c>
      <c r="V29" s="92">
        <v>3599.242681833879</v>
      </c>
      <c r="W29" s="23">
        <f>W23+W27</f>
        <v>15261.264959999971</v>
      </c>
      <c r="X29" s="23">
        <f>X23+X27</f>
        <v>14706.992371723609</v>
      </c>
      <c r="Y29" s="58">
        <f>X29/W29-1</f>
        <v>-3.6318915222894099E-2</v>
      </c>
      <c r="Z29" s="92">
        <f>X29-W29</f>
        <v>-554.27258827636251</v>
      </c>
      <c r="AA29" s="23">
        <v>29360.583413041142</v>
      </c>
      <c r="AB29" s="23">
        <f>AB23+AB27</f>
        <v>62487.675987602903</v>
      </c>
      <c r="AC29" s="58">
        <f>AB29/AA29-1</f>
        <v>1.1282845476376888</v>
      </c>
      <c r="AD29" s="92">
        <f>AB29-AA29</f>
        <v>33127.092574561757</v>
      </c>
      <c r="AE29" s="23">
        <f>AE23+AE27</f>
        <v>35870.681377031608</v>
      </c>
      <c r="AF29" s="23">
        <f>AF23+AF27</f>
        <v>49572.15449755016</v>
      </c>
      <c r="AG29" s="58">
        <f>IFERROR(AF29/AE29-1,0)</f>
        <v>0.38196857696970765</v>
      </c>
      <c r="AH29" s="92">
        <f>AF29-AE29</f>
        <v>13701.473120518553</v>
      </c>
    </row>
    <row r="30" spans="1:38">
      <c r="A30" s="412"/>
      <c r="B30" s="331"/>
      <c r="C30" s="367"/>
      <c r="D30" s="367"/>
      <c r="E30" s="367"/>
      <c r="F30" s="23"/>
      <c r="G30" s="23"/>
      <c r="H30" s="367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274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6" t="s">
        <v>465</v>
      </c>
      <c r="B31" s="331"/>
      <c r="C31" s="367">
        <v>-5992</v>
      </c>
      <c r="D31" s="367">
        <v>-6459</v>
      </c>
      <c r="E31" s="367">
        <v>-7244</v>
      </c>
      <c r="F31" s="23">
        <v>-7146</v>
      </c>
      <c r="G31" s="23">
        <v>-7223</v>
      </c>
      <c r="H31" s="367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5">IFERROR(P31/O31-1,0)</f>
        <v>-0.27299350510431286</v>
      </c>
      <c r="R31" s="92">
        <f>P31-O31</f>
        <v>272.17452458899993</v>
      </c>
      <c r="S31" s="23">
        <v>-1314</v>
      </c>
      <c r="T31" s="23">
        <v>-1726.1745245889999</v>
      </c>
      <c r="U31" s="58"/>
      <c r="V31" s="92">
        <v>3752</v>
      </c>
      <c r="W31" s="23">
        <v>-412</v>
      </c>
      <c r="X31" s="23">
        <f>AF31-SUM(P31,T31)</f>
        <v>-2756</v>
      </c>
      <c r="Y31" s="58"/>
      <c r="Z31" s="92">
        <f>X31-W31</f>
        <v>-2344</v>
      </c>
      <c r="AA31" s="23">
        <v>103</v>
      </c>
      <c r="AB31" s="23">
        <f>AF31-X31-T31-P31</f>
        <v>0</v>
      </c>
      <c r="AC31" s="58"/>
      <c r="AD31" s="92">
        <f>AB31-AA31</f>
        <v>-103</v>
      </c>
      <c r="AE31" s="23">
        <f t="shared" ref="AE31:AE32" si="26">O31+S31+W31</f>
        <v>-2723</v>
      </c>
      <c r="AF31" s="23">
        <v>-5207</v>
      </c>
      <c r="AG31" s="58">
        <f t="shared" ref="AG31:AG32" si="27">IFERROR(AF31/AE31-1,0)</f>
        <v>0.91222915901579138</v>
      </c>
      <c r="AH31" s="92">
        <f>AF31-AE31</f>
        <v>-2484</v>
      </c>
    </row>
    <row r="32" spans="1:38">
      <c r="A32" s="6" t="s">
        <v>466</v>
      </c>
      <c r="B32" s="331"/>
      <c r="C32" s="367">
        <v>-10855</v>
      </c>
      <c r="D32" s="367">
        <v>-11196</v>
      </c>
      <c r="E32" s="367">
        <v>-4178</v>
      </c>
      <c r="F32" s="23">
        <v>-1907</v>
      </c>
      <c r="G32" s="23">
        <v>-1818</v>
      </c>
      <c r="H32" s="367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5"/>
        <v>-5.8879353135888506</v>
      </c>
      <c r="R32" s="92">
        <f>P32-O32</f>
        <v>-3379.6748700000003</v>
      </c>
      <c r="S32" s="23">
        <v>-769</v>
      </c>
      <c r="T32" s="23">
        <v>-3667.3251299999997</v>
      </c>
      <c r="U32" s="58">
        <v>8.9166666666666661</v>
      </c>
      <c r="V32" s="92">
        <v>-214</v>
      </c>
      <c r="W32" s="23">
        <v>-1864</v>
      </c>
      <c r="X32" s="23">
        <f>AF32-SUM(P32,T32)</f>
        <v>930</v>
      </c>
      <c r="Y32" s="58">
        <f>X32/W32-1</f>
        <v>-1.4989270386266094</v>
      </c>
      <c r="Z32" s="92">
        <f>X32-W32</f>
        <v>2794</v>
      </c>
      <c r="AA32" s="23">
        <v>-4340</v>
      </c>
      <c r="AB32" s="23">
        <f>AF32-X32-T32-P32</f>
        <v>0</v>
      </c>
      <c r="AC32" s="58">
        <f>AB32/AA32-1</f>
        <v>-1</v>
      </c>
      <c r="AD32" s="92">
        <f>AB32-AA32</f>
        <v>4340</v>
      </c>
      <c r="AE32" s="23">
        <f t="shared" si="26"/>
        <v>-2059</v>
      </c>
      <c r="AF32" s="23">
        <v>-5543</v>
      </c>
      <c r="AG32" s="58">
        <f t="shared" si="27"/>
        <v>1.6920835356969404</v>
      </c>
      <c r="AH32" s="92">
        <f>AF32-AE32</f>
        <v>-3484</v>
      </c>
    </row>
    <row r="33" spans="1:34">
      <c r="A33" s="413" t="s">
        <v>467</v>
      </c>
      <c r="B33" s="315"/>
      <c r="C33" s="371">
        <f>SUM(C31:C32)</f>
        <v>-16847</v>
      </c>
      <c r="D33" s="371">
        <f t="shared" ref="D33:L33" si="28">SUM(D31:D32)</f>
        <v>-17655</v>
      </c>
      <c r="E33" s="371">
        <f t="shared" si="28"/>
        <v>-11422</v>
      </c>
      <c r="F33" s="371">
        <f t="shared" si="28"/>
        <v>-9053</v>
      </c>
      <c r="G33" s="371">
        <f t="shared" si="28"/>
        <v>-9041</v>
      </c>
      <c r="H33" s="371">
        <f t="shared" si="28"/>
        <v>-3791</v>
      </c>
      <c r="I33" s="371">
        <f t="shared" si="28"/>
        <v>3188</v>
      </c>
      <c r="J33" s="371">
        <f t="shared" si="28"/>
        <v>13022</v>
      </c>
      <c r="K33" s="371">
        <f t="shared" si="28"/>
        <v>9174</v>
      </c>
      <c r="L33" s="371">
        <f t="shared" si="28"/>
        <v>5761</v>
      </c>
      <c r="M33" s="371">
        <v>-7537</v>
      </c>
      <c r="N33" s="371">
        <v>-5707</v>
      </c>
      <c r="O33" s="8">
        <f t="shared" ref="O33:P33" si="29">SUM(O31:O32)</f>
        <v>-423</v>
      </c>
      <c r="P33" s="8">
        <f t="shared" si="29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f>SUM(X31:X32)</f>
        <v>-1826</v>
      </c>
      <c r="Y33" s="61">
        <f>X33/W33-1</f>
        <v>-0.19771528998242527</v>
      </c>
      <c r="Z33" s="91">
        <f>X33-W33</f>
        <v>450</v>
      </c>
      <c r="AA33" s="8">
        <f>SUM(AA31:AA32)</f>
        <v>-4237</v>
      </c>
      <c r="AB33" s="8">
        <f>SUM(AB31:AB32)</f>
        <v>0</v>
      </c>
      <c r="AC33" s="61">
        <f>AB33/AA33-1</f>
        <v>-1</v>
      </c>
      <c r="AD33" s="91">
        <f>AB33-AA33</f>
        <v>4237</v>
      </c>
      <c r="AE33" s="8">
        <f t="shared" ref="AE33" si="30">SUM(AE31:AE32)</f>
        <v>-4782</v>
      </c>
      <c r="AF33" s="8">
        <f>SUM(AF31:AF32)</f>
        <v>-10750</v>
      </c>
      <c r="AG33" s="61">
        <f>IFERROR(AF33/AE33-1,0)</f>
        <v>1.2480133835215392</v>
      </c>
      <c r="AH33" s="91">
        <f>AF33-AE33</f>
        <v>-5968</v>
      </c>
    </row>
    <row r="34" spans="1:34">
      <c r="A34" s="412"/>
      <c r="B34" s="331"/>
      <c r="C34" s="367"/>
      <c r="D34" s="367"/>
      <c r="E34" s="367"/>
      <c r="F34" s="369"/>
      <c r="G34" s="7"/>
      <c r="H34" s="367"/>
      <c r="I34" s="369"/>
      <c r="J34" s="369"/>
      <c r="K34" s="369"/>
      <c r="L34" s="369"/>
      <c r="M34" s="369"/>
      <c r="N34" s="369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413" t="s">
        <v>468</v>
      </c>
      <c r="B35" s="315"/>
      <c r="C35" s="371">
        <f>C29+C33</f>
        <v>88957</v>
      </c>
      <c r="D35" s="371">
        <f t="shared" ref="D35:L35" si="31">D29+D33</f>
        <v>63764</v>
      </c>
      <c r="E35" s="371">
        <f t="shared" si="31"/>
        <v>31522</v>
      </c>
      <c r="F35" s="371">
        <f t="shared" si="31"/>
        <v>46228</v>
      </c>
      <c r="G35" s="371">
        <f t="shared" si="31"/>
        <v>22015</v>
      </c>
      <c r="H35" s="371">
        <f t="shared" si="31"/>
        <v>-1936.0258596960339</v>
      </c>
      <c r="I35" s="371">
        <f t="shared" si="31"/>
        <v>-12084.390136322469</v>
      </c>
      <c r="J35" s="371">
        <f t="shared" si="31"/>
        <v>14369.175705245172</v>
      </c>
      <c r="K35" s="371">
        <f t="shared" si="31"/>
        <v>-122654</v>
      </c>
      <c r="L35" s="371">
        <f t="shared" si="31"/>
        <v>-28163</v>
      </c>
      <c r="M35" s="371">
        <v>28080.677914169384</v>
      </c>
      <c r="N35" s="371">
        <v>39922.616256301873</v>
      </c>
      <c r="O35" s="8">
        <f t="shared" ref="O35" si="32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12985.264959999971</v>
      </c>
      <c r="X35" s="8">
        <f t="shared" ref="X35" si="33">SUM(X29:X32)</f>
        <v>12880.992371723609</v>
      </c>
      <c r="Y35" s="61">
        <f>X35/W35-1</f>
        <v>-8.0300701293015697E-3</v>
      </c>
      <c r="Z35" s="91">
        <f>X35-W35</f>
        <v>-104.27258827636251</v>
      </c>
      <c r="AA35" s="8">
        <f t="shared" ref="AA35:AB35" si="34">SUM(AA29:AA32)</f>
        <v>25123.583413041142</v>
      </c>
      <c r="AB35" s="8">
        <f t="shared" si="34"/>
        <v>62487.675987602903</v>
      </c>
      <c r="AC35" s="61">
        <f>AB35/AA35-1</f>
        <v>1.487211914012506</v>
      </c>
      <c r="AD35" s="91">
        <f>AB35-AA35</f>
        <v>37364.092574561757</v>
      </c>
      <c r="AE35" s="8">
        <f>SUM(AE29:AE32)</f>
        <v>31088.681377031608</v>
      </c>
      <c r="AF35" s="8">
        <f t="shared" ref="AF35" si="35">SUM(AF29:AF32)</f>
        <v>38822.15449755016</v>
      </c>
      <c r="AG35" s="61">
        <f>IFERROR(AF35/AE35-1,0)</f>
        <v>0.24875526326542952</v>
      </c>
      <c r="AH35" s="91">
        <f>AF35-AE35</f>
        <v>7733.4731205185526</v>
      </c>
    </row>
    <row r="36" spans="1:34">
      <c r="A36" s="414" t="s">
        <v>469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6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v>0.20160647476647969</v>
      </c>
      <c r="U36" s="9"/>
      <c r="V36" s="54">
        <v>3.2517328140601292</v>
      </c>
      <c r="W36" s="9">
        <f>W35/W8</f>
        <v>0.16149801569262706</v>
      </c>
      <c r="X36" s="9">
        <f t="shared" ref="X36" si="37">X35/X8</f>
        <v>0.13604204629812303</v>
      </c>
      <c r="Y36" s="9"/>
      <c r="Z36" s="54">
        <f>(X36-W36)*100</f>
        <v>-2.5455969394504034</v>
      </c>
      <c r="AA36" s="9">
        <f t="shared" ref="AA36:AB36" si="38">AA35/AA8</f>
        <v>0.22620149084997263</v>
      </c>
      <c r="AB36" s="9">
        <f t="shared" si="38"/>
        <v>0.56261104300944276</v>
      </c>
      <c r="AC36" s="9"/>
      <c r="AD36" s="54">
        <f>(AB36-AA36)*100</f>
        <v>33.64095521594701</v>
      </c>
      <c r="AE36" s="9">
        <f>AE35/AE8</f>
        <v>0.13442038077626739</v>
      </c>
      <c r="AF36" s="9">
        <f t="shared" ref="AF36" si="39">AF35/AF8</f>
        <v>0.1476093011978479</v>
      </c>
      <c r="AG36" s="9"/>
      <c r="AH36" s="54">
        <f>(AF36-AE36)*100</f>
        <v>1.3188920421580512</v>
      </c>
    </row>
    <row r="37" spans="1:34">
      <c r="A37" s="412"/>
      <c r="B37" s="331"/>
      <c r="C37" s="369"/>
      <c r="D37" s="369"/>
      <c r="E37" s="369"/>
      <c r="F37" s="369"/>
      <c r="G37" s="369"/>
      <c r="H37" s="377"/>
      <c r="I37" s="369"/>
      <c r="J37" s="369"/>
      <c r="K37" s="369"/>
      <c r="L37" s="369"/>
      <c r="M37" s="369"/>
      <c r="N37" s="369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411" t="s">
        <v>470</v>
      </c>
      <c r="B38" s="320"/>
      <c r="C38" s="378">
        <v>-3147</v>
      </c>
      <c r="D38" s="379">
        <v>-5425</v>
      </c>
      <c r="E38" s="379">
        <v>-9599</v>
      </c>
      <c r="F38" s="23">
        <v>-13148.34042</v>
      </c>
      <c r="G38" s="23">
        <v>-14029</v>
      </c>
      <c r="H38" s="379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58">
        <v>0.3013435700575815</v>
      </c>
      <c r="V38" s="92">
        <v>-628</v>
      </c>
      <c r="W38" s="23">
        <v>-2416</v>
      </c>
      <c r="X38" s="23">
        <v>-2942</v>
      </c>
      <c r="Y38" s="58">
        <f>X38/W38-1</f>
        <v>0.2177152317880795</v>
      </c>
      <c r="Z38" s="92">
        <f t="shared" ref="Z38:Z50" si="40">X38-W38</f>
        <v>-526</v>
      </c>
      <c r="AA38" s="23">
        <v>-2421</v>
      </c>
      <c r="AB38" s="23">
        <v>-2421</v>
      </c>
      <c r="AC38" s="58">
        <f>AB38/AA38-1</f>
        <v>0</v>
      </c>
      <c r="AD38" s="92">
        <f t="shared" ref="AD38:AD43" si="41">AB38-AA38</f>
        <v>0</v>
      </c>
      <c r="AE38" s="23">
        <f t="shared" ref="AE38:AE51" si="42">O38+S38+W38</f>
        <v>-7159</v>
      </c>
      <c r="AF38" s="23">
        <f t="shared" ref="AF38:AF43" si="43">P38+T38+X38</f>
        <v>-7889</v>
      </c>
      <c r="AG38" s="58">
        <f>IFERROR(AF38/AE38-1,0)</f>
        <v>0.10196954881966747</v>
      </c>
      <c r="AH38" s="92">
        <f>AF38-AE38</f>
        <v>-730</v>
      </c>
    </row>
    <row r="39" spans="1:34">
      <c r="A39" s="411" t="s">
        <v>471</v>
      </c>
      <c r="B39" s="320"/>
      <c r="C39" s="378">
        <v>7189</v>
      </c>
      <c r="D39" s="379">
        <v>11074</v>
      </c>
      <c r="E39" s="379">
        <v>13116</v>
      </c>
      <c r="F39" s="23">
        <v>16594.183259999998</v>
      </c>
      <c r="G39" s="23">
        <v>39829.427649999998</v>
      </c>
      <c r="H39" s="379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58">
        <v>0.22676459278185912</v>
      </c>
      <c r="V39" s="92">
        <v>709.99994000000061</v>
      </c>
      <c r="W39" s="23">
        <v>4008.8666599999997</v>
      </c>
      <c r="X39" s="23">
        <v>5374.6025400000017</v>
      </c>
      <c r="Y39" s="58">
        <f>X39/W39-1</f>
        <v>0.34067879922950639</v>
      </c>
      <c r="Z39" s="92">
        <f t="shared" si="40"/>
        <v>1365.735880000002</v>
      </c>
      <c r="AA39" s="23">
        <v>3531.1506099999988</v>
      </c>
      <c r="AB39" s="23">
        <v>3531.1506099999988</v>
      </c>
      <c r="AC39" s="58">
        <f>AB39/AA39-1</f>
        <v>0</v>
      </c>
      <c r="AD39" s="92">
        <f t="shared" si="41"/>
        <v>0</v>
      </c>
      <c r="AE39" s="23">
        <f t="shared" si="42"/>
        <v>12476.453149999998</v>
      </c>
      <c r="AF39" s="23">
        <f t="shared" si="43"/>
        <v>15182.044490000002</v>
      </c>
      <c r="AG39" s="58">
        <f>IFERROR(AF39/AE39-1,0)</f>
        <v>0.21685580889629708</v>
      </c>
      <c r="AH39" s="92">
        <f>AF39-AE39</f>
        <v>2705.5913400000045</v>
      </c>
    </row>
    <row r="40" spans="1:34">
      <c r="A40" s="411" t="s">
        <v>472</v>
      </c>
      <c r="B40" s="320"/>
      <c r="C40" s="378">
        <v>9403</v>
      </c>
      <c r="D40" s="378">
        <v>8960</v>
      </c>
      <c r="E40" s="378">
        <v>10648.179258574701</v>
      </c>
      <c r="F40" s="23">
        <v>14081.99249759946</v>
      </c>
      <c r="G40" s="23">
        <v>17594.58786</v>
      </c>
      <c r="H40" s="379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4">IFERROR(P40/O40-1,0)</f>
        <v>-6.4458886162739426E-2</v>
      </c>
      <c r="R40" s="92">
        <f t="shared" ref="R40:R43" si="45">P40-O40</f>
        <v>-225.41323058311264</v>
      </c>
      <c r="S40" s="23">
        <v>3665.257867152</v>
      </c>
      <c r="T40" s="23">
        <v>3124.345991997342</v>
      </c>
      <c r="U40" s="58">
        <v>1.6414264540953636</v>
      </c>
      <c r="V40" s="92">
        <v>1643.067880549459</v>
      </c>
      <c r="W40" s="23">
        <v>3701.469014561761</v>
      </c>
      <c r="X40" s="23">
        <v>3272.279457282315</v>
      </c>
      <c r="Y40" s="58">
        <f>X40/W40-1</f>
        <v>-0.11595114144978469</v>
      </c>
      <c r="Z40" s="92">
        <f t="shared" si="40"/>
        <v>-429.18955727944603</v>
      </c>
      <c r="AA40" s="23">
        <v>3769.8496323971954</v>
      </c>
      <c r="AB40" s="23">
        <v>3769.8496323971954</v>
      </c>
      <c r="AC40" s="58">
        <f>AB40/AA40-1</f>
        <v>0</v>
      </c>
      <c r="AD40" s="92">
        <f t="shared" si="41"/>
        <v>0</v>
      </c>
      <c r="AE40" s="23">
        <f t="shared" si="42"/>
        <v>10863.734726590441</v>
      </c>
      <c r="AF40" s="23">
        <f t="shared" si="43"/>
        <v>9668.2200635732261</v>
      </c>
      <c r="AG40" s="58">
        <f t="shared" ref="AG40:AG42" si="46">IFERROR(AF40/AE40-1,0)</f>
        <v>-0.11004637844212384</v>
      </c>
      <c r="AH40" s="92">
        <f t="shared" ref="AH40:AH43" si="47">AF40-AE40</f>
        <v>-1195.5146630172148</v>
      </c>
    </row>
    <row r="41" spans="1:34">
      <c r="A41" s="411" t="s">
        <v>461</v>
      </c>
      <c r="B41" s="320"/>
      <c r="C41" s="378">
        <v>-9288</v>
      </c>
      <c r="D41" s="378">
        <v>-3374</v>
      </c>
      <c r="E41" s="378">
        <v>-29310</v>
      </c>
      <c r="F41" s="23">
        <v>-40568.457139999999</v>
      </c>
      <c r="G41" s="23">
        <v>-58735.880399999995</v>
      </c>
      <c r="H41" s="379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4"/>
        <v>-0.82803572538273285</v>
      </c>
      <c r="R41" s="92">
        <f t="shared" si="45"/>
        <v>6583.5600499999991</v>
      </c>
      <c r="S41" s="23">
        <v>-7585.3264700000018</v>
      </c>
      <c r="T41" s="23">
        <v>-3450.2781800000012</v>
      </c>
      <c r="U41" s="58">
        <v>9.1180860994102719E-2</v>
      </c>
      <c r="V41" s="92">
        <v>-541.15840999999909</v>
      </c>
      <c r="W41" s="23">
        <v>-7588.1760299999996</v>
      </c>
      <c r="X41" s="23">
        <v>-8572.800849999996</v>
      </c>
      <c r="Y41" s="58">
        <f>X41/W41-1</f>
        <v>0.12975777263300992</v>
      </c>
      <c r="Z41" s="92">
        <f t="shared" si="40"/>
        <v>-984.62481999999636</v>
      </c>
      <c r="AA41" s="23">
        <v>-4000.8448400000016</v>
      </c>
      <c r="AB41" s="23">
        <v>-4000.8448400000016</v>
      </c>
      <c r="AC41" s="58">
        <f>AB41/AA41-1</f>
        <v>0</v>
      </c>
      <c r="AD41" s="92">
        <f t="shared" si="41"/>
        <v>0</v>
      </c>
      <c r="AE41" s="23">
        <f t="shared" si="42"/>
        <v>-23124.318930000001</v>
      </c>
      <c r="AF41" s="23">
        <f t="shared" si="43"/>
        <v>-13390.335409999996</v>
      </c>
      <c r="AG41" s="58">
        <f t="shared" si="46"/>
        <v>-0.4209414145110999</v>
      </c>
      <c r="AH41" s="92">
        <f t="shared" si="47"/>
        <v>9733.9835200000052</v>
      </c>
    </row>
    <row r="42" spans="1:34">
      <c r="A42" s="411" t="s">
        <v>473</v>
      </c>
      <c r="B42" s="320"/>
      <c r="C42" s="379">
        <v>-2070</v>
      </c>
      <c r="D42" s="380">
        <v>-6459</v>
      </c>
      <c r="E42" s="380">
        <v>-7106.2640999999985</v>
      </c>
      <c r="F42" s="23">
        <v>-7079.9619980000007</v>
      </c>
      <c r="G42" s="23">
        <v>-7222.3714499999996</v>
      </c>
      <c r="H42" s="379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4"/>
        <v>-0.27312614317930928</v>
      </c>
      <c r="R42" s="92">
        <f t="shared" si="45"/>
        <v>272.35645458900001</v>
      </c>
      <c r="S42" s="23">
        <v>-1314.1210499999997</v>
      </c>
      <c r="T42" s="23">
        <v>-1726.7003300000001</v>
      </c>
      <c r="U42" s="58"/>
      <c r="V42" s="92">
        <v>3751.9459200000001</v>
      </c>
      <c r="W42" s="23">
        <v>-411.75785528400002</v>
      </c>
      <c r="X42" s="23">
        <v>-2756.4472499999997</v>
      </c>
      <c r="Y42" s="58"/>
      <c r="Z42" s="92">
        <f t="shared" si="40"/>
        <v>-2344.6893947159997</v>
      </c>
      <c r="AA42" s="23">
        <v>102.30545367100012</v>
      </c>
      <c r="AB42" s="23">
        <v>102.30545367100012</v>
      </c>
      <c r="AC42" s="58"/>
      <c r="AD42" s="92">
        <f t="shared" si="41"/>
        <v>0</v>
      </c>
      <c r="AE42" s="23">
        <f t="shared" si="42"/>
        <v>-2723.0608352839999</v>
      </c>
      <c r="AF42" s="23">
        <f t="shared" si="43"/>
        <v>-5207.9730554109992</v>
      </c>
      <c r="AG42" s="58">
        <f t="shared" si="46"/>
        <v>0.9125437771822078</v>
      </c>
      <c r="AH42" s="92">
        <f t="shared" si="47"/>
        <v>-2484.9122201269993</v>
      </c>
    </row>
    <row r="43" spans="1:34">
      <c r="A43" s="411" t="s">
        <v>474</v>
      </c>
      <c r="B43" s="320"/>
      <c r="C43" s="378">
        <v>-10855</v>
      </c>
      <c r="D43" s="378">
        <v>-11196</v>
      </c>
      <c r="E43" s="378">
        <v>-4178</v>
      </c>
      <c r="F43" s="23">
        <v>-1908.3374199999998</v>
      </c>
      <c r="G43" s="23">
        <v>-1818.1681300000002</v>
      </c>
      <c r="H43" s="379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5"/>
        <v>-3379.34303</v>
      </c>
      <c r="S43" s="23">
        <v>-768.41834000000017</v>
      </c>
      <c r="T43" s="23">
        <v>-3667.79448</v>
      </c>
      <c r="U43" s="58">
        <v>8.9553920833333418</v>
      </c>
      <c r="V43" s="92">
        <v>-214.92941000000019</v>
      </c>
      <c r="W43" s="23">
        <v>-1863.3668</v>
      </c>
      <c r="X43" s="23">
        <v>930.34099999999989</v>
      </c>
      <c r="Y43" s="58">
        <f>X43/W43-1</f>
        <v>-1.4992795836010386</v>
      </c>
      <c r="Z43" s="92">
        <f t="shared" si="40"/>
        <v>2793.7078000000001</v>
      </c>
      <c r="AA43" s="23">
        <v>-4339.7007000000003</v>
      </c>
      <c r="AB43" s="23">
        <v>-4339.7007000000003</v>
      </c>
      <c r="AC43" s="58">
        <f>AB43/AA43-1</f>
        <v>0</v>
      </c>
      <c r="AD43" s="92">
        <f t="shared" si="41"/>
        <v>0</v>
      </c>
      <c r="AE43" s="23">
        <f t="shared" si="42"/>
        <v>-2058.1169800000002</v>
      </c>
      <c r="AF43" s="23">
        <f t="shared" si="43"/>
        <v>-5543.1283500000009</v>
      </c>
      <c r="AG43" s="58">
        <f>IFERROR(AF43/AE43-1,0)</f>
        <v>1.6933009172296902</v>
      </c>
      <c r="AH43" s="92">
        <f t="shared" si="47"/>
        <v>-3485.0113700000006</v>
      </c>
    </row>
    <row r="44" spans="1:34">
      <c r="A44" s="413" t="s">
        <v>53</v>
      </c>
      <c r="B44" s="315"/>
      <c r="C44" s="371">
        <f>C35-SUM(C38:C43)</f>
        <v>97725</v>
      </c>
      <c r="D44" s="371">
        <f t="shared" ref="D44:L44" si="48">D35-SUM(D38:D43)</f>
        <v>70184</v>
      </c>
      <c r="E44" s="371">
        <f t="shared" si="48"/>
        <v>57951.084841425298</v>
      </c>
      <c r="F44" s="371">
        <f t="shared" si="48"/>
        <v>78256.921220400545</v>
      </c>
      <c r="G44" s="371">
        <f t="shared" si="48"/>
        <v>46396.404469999994</v>
      </c>
      <c r="H44" s="371">
        <f t="shared" si="48"/>
        <v>22959.628080100942</v>
      </c>
      <c r="I44" s="371">
        <f t="shared" si="48"/>
        <v>140.88288430401917</v>
      </c>
      <c r="J44" s="371">
        <f t="shared" si="48"/>
        <v>8375.8018714157861</v>
      </c>
      <c r="K44" s="371">
        <f t="shared" si="48"/>
        <v>-114404.52688279217</v>
      </c>
      <c r="L44" s="371">
        <f t="shared" si="48"/>
        <v>1433</v>
      </c>
      <c r="M44" s="371">
        <v>59518.578614169382</v>
      </c>
      <c r="N44" s="371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17554.229970722212</v>
      </c>
      <c r="X44" s="8">
        <f>X35-SUM(X38:X43)</f>
        <v>17575.017474441287</v>
      </c>
      <c r="Y44" s="61">
        <f>IFERROR(X44/W44-1,0)</f>
        <v>1.1841877287550595E-3</v>
      </c>
      <c r="Z44" s="91">
        <f>X44-W44</f>
        <v>20.787503719075175</v>
      </c>
      <c r="AA44" s="8">
        <f>AA35-SUM(AA38:AA43)</f>
        <v>28481.823256972948</v>
      </c>
      <c r="AB44" s="8">
        <f>AB35-SUM(AB38:AB43)</f>
        <v>65845.915831534716</v>
      </c>
      <c r="AC44" s="61">
        <f>IFERROR(AB44/AA44-1,0)</f>
        <v>1.3118574691461951</v>
      </c>
      <c r="AD44" s="91">
        <f>AB44-AA44</f>
        <v>37364.092574561771</v>
      </c>
      <c r="AE44" s="8">
        <f>AE35-SUM(AE38:AE43)</f>
        <v>42812.990245725174</v>
      </c>
      <c r="AF44" s="8">
        <f>AF35-SUM(AF38:AF43)</f>
        <v>46002.326759387928</v>
      </c>
      <c r="AG44" s="61">
        <f>IFERROR(AF44/AE44-1,0)</f>
        <v>7.4494598376743992E-2</v>
      </c>
      <c r="AH44" s="91">
        <f>AF44-AE44</f>
        <v>3189.3365136627544</v>
      </c>
    </row>
    <row r="45" spans="1:34">
      <c r="A45" s="417" t="s">
        <v>475</v>
      </c>
      <c r="B45" s="349"/>
      <c r="C45" s="381">
        <v>22621</v>
      </c>
      <c r="D45" s="381">
        <v>1706.677077851524</v>
      </c>
      <c r="E45" s="381">
        <v>-799.577</v>
      </c>
      <c r="F45" s="23">
        <v>-1206.526360097015</v>
      </c>
      <c r="G45" s="23">
        <v>-63.302908076515223</v>
      </c>
      <c r="H45" s="381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49">P45-O45</f>
        <v>-75</v>
      </c>
      <c r="S45" s="23">
        <v>-668.92100000000005</v>
      </c>
      <c r="T45" s="23">
        <v>-647</v>
      </c>
      <c r="U45" s="58">
        <v>-2.3081967213114751</v>
      </c>
      <c r="V45" s="92">
        <v>-1408</v>
      </c>
      <c r="W45" s="23">
        <v>-829</v>
      </c>
      <c r="X45" s="23">
        <v>-380.59745000000004</v>
      </c>
      <c r="Y45" s="58">
        <f>X45/W45-1</f>
        <v>-0.54089571773220746</v>
      </c>
      <c r="Z45" s="92">
        <f t="shared" si="40"/>
        <v>448.40254999999996</v>
      </c>
      <c r="AA45" s="23">
        <v>-798.61509000000001</v>
      </c>
      <c r="AB45" s="23">
        <v>-798.61509000000001</v>
      </c>
      <c r="AC45" s="58">
        <f>AB45/AA45-1</f>
        <v>0</v>
      </c>
      <c r="AD45" s="92">
        <f t="shared" ref="AD45:AD50" si="50">AB45-AA45</f>
        <v>0</v>
      </c>
      <c r="AE45" s="23">
        <f t="shared" si="42"/>
        <v>-2006.921</v>
      </c>
      <c r="AF45" s="23">
        <f>P45+T45+X45</f>
        <v>-1611.59745</v>
      </c>
      <c r="AG45" s="58">
        <f>IFERROR(AF45/AE45-1,0)</f>
        <v>-0.19698012527648079</v>
      </c>
      <c r="AH45" s="92">
        <f t="shared" ref="AH45:AH50" si="51">AF45-AE45</f>
        <v>395.32355000000007</v>
      </c>
    </row>
    <row r="46" spans="1:34">
      <c r="A46" s="418" t="s">
        <v>476</v>
      </c>
      <c r="B46" s="348"/>
      <c r="C46" s="381">
        <v>7150</v>
      </c>
      <c r="D46" s="381">
        <v>-1159.8243400000001</v>
      </c>
      <c r="E46" s="381">
        <v>-11678.14939</v>
      </c>
      <c r="F46" s="23">
        <v>1037.0412756000001</v>
      </c>
      <c r="G46" s="23">
        <v>-19758.476630000001</v>
      </c>
      <c r="H46" s="381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49"/>
        <v>0</v>
      </c>
      <c r="S46" s="23"/>
      <c r="T46" s="23"/>
      <c r="U46" s="58">
        <v>-1</v>
      </c>
      <c r="V46" s="92">
        <v>666</v>
      </c>
      <c r="W46" s="23">
        <v>1653</v>
      </c>
      <c r="X46" s="23"/>
      <c r="Y46" s="58">
        <f>IFERROR(X46/W46-1,0)</f>
        <v>-1</v>
      </c>
      <c r="Z46" s="92">
        <f t="shared" si="40"/>
        <v>-1653</v>
      </c>
      <c r="AA46" s="23">
        <v>0</v>
      </c>
      <c r="AB46" s="23">
        <v>0</v>
      </c>
      <c r="AC46" s="58">
        <f>IFERROR(AB46/AA46-1,0)</f>
        <v>0</v>
      </c>
      <c r="AD46" s="92">
        <f t="shared" si="50"/>
        <v>0</v>
      </c>
      <c r="AE46" s="23">
        <f t="shared" si="42"/>
        <v>1653</v>
      </c>
      <c r="AF46" s="23">
        <f t="shared" ref="AF46:AF51" si="52">P46+T46+X46</f>
        <v>0</v>
      </c>
      <c r="AG46" s="58">
        <f>IFERROR(AF46/AE46-1,0)</f>
        <v>-1</v>
      </c>
      <c r="AH46" s="92">
        <f t="shared" si="51"/>
        <v>-1653</v>
      </c>
    </row>
    <row r="47" spans="1:34">
      <c r="A47" s="418" t="s">
        <v>477</v>
      </c>
      <c r="B47" s="348"/>
      <c r="C47" s="378">
        <v>0</v>
      </c>
      <c r="D47" s="381">
        <v>0</v>
      </c>
      <c r="E47" s="378">
        <v>-743.67</v>
      </c>
      <c r="F47" s="23">
        <v>-1509.1870000000001</v>
      </c>
      <c r="G47" s="23">
        <v>5375.1013999999996</v>
      </c>
      <c r="H47" s="381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49"/>
        <v>0</v>
      </c>
      <c r="S47" s="23"/>
      <c r="T47" s="23"/>
      <c r="U47" s="58">
        <v>0</v>
      </c>
      <c r="V47" s="92">
        <v>0</v>
      </c>
      <c r="W47" s="23"/>
      <c r="X47" s="23"/>
      <c r="Y47" s="58">
        <f>IFERROR(X47/W47-1,0)</f>
        <v>0</v>
      </c>
      <c r="Z47" s="92">
        <f t="shared" si="40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0"/>
        <v>0</v>
      </c>
      <c r="AE47" s="23">
        <f t="shared" si="42"/>
        <v>0</v>
      </c>
      <c r="AF47" s="23">
        <f t="shared" si="52"/>
        <v>0</v>
      </c>
      <c r="AG47" s="58">
        <f>IFERROR(AF47/AE47-1,0)</f>
        <v>0</v>
      </c>
      <c r="AH47" s="92">
        <f t="shared" si="51"/>
        <v>0</v>
      </c>
    </row>
    <row r="48" spans="1:34">
      <c r="A48" s="418" t="s">
        <v>478</v>
      </c>
      <c r="B48" s="348"/>
      <c r="C48" s="378">
        <v>0</v>
      </c>
      <c r="D48" s="381">
        <v>0</v>
      </c>
      <c r="E48" s="378">
        <v>-4554.58554</v>
      </c>
      <c r="F48" s="23">
        <v>-2635.1899100000001</v>
      </c>
      <c r="G48" s="23">
        <v>-771.45402000000001</v>
      </c>
      <c r="H48" s="381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3">IFERROR(P48/O48-1,0)</f>
        <v>0</v>
      </c>
      <c r="R48" s="92">
        <f t="shared" si="49"/>
        <v>0</v>
      </c>
      <c r="S48" s="23"/>
      <c r="T48" s="23"/>
      <c r="U48" s="58" t="e">
        <v>#DIV/0!</v>
      </c>
      <c r="V48" s="92">
        <v>0</v>
      </c>
      <c r="W48" s="23"/>
      <c r="X48" s="23"/>
      <c r="Y48" s="58" t="e">
        <f>X48/W48-1</f>
        <v>#DIV/0!</v>
      </c>
      <c r="Z48" s="92">
        <f t="shared" si="40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0"/>
        <v>0</v>
      </c>
      <c r="AE48" s="23">
        <f t="shared" si="42"/>
        <v>0</v>
      </c>
      <c r="AF48" s="23">
        <f t="shared" si="52"/>
        <v>0</v>
      </c>
      <c r="AG48" s="58">
        <f t="shared" ref="AG48:AG50" si="54">IFERROR(AF48/AE48-1,0)</f>
        <v>0</v>
      </c>
      <c r="AH48" s="92">
        <f t="shared" si="51"/>
        <v>0</v>
      </c>
    </row>
    <row r="49" spans="1:34">
      <c r="A49" s="411" t="s">
        <v>479</v>
      </c>
      <c r="B49" s="320"/>
      <c r="C49" s="378">
        <v>-877</v>
      </c>
      <c r="D49" s="381">
        <v>0</v>
      </c>
      <c r="E49" s="378">
        <v>0</v>
      </c>
      <c r="F49" s="23">
        <v>0</v>
      </c>
      <c r="G49" s="23">
        <v>0</v>
      </c>
      <c r="H49" s="381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3"/>
        <v>0</v>
      </c>
      <c r="R49" s="92">
        <f t="shared" si="49"/>
        <v>0</v>
      </c>
      <c r="S49" s="23"/>
      <c r="T49" s="23"/>
      <c r="U49" s="58" t="e">
        <v>#DIV/0!</v>
      </c>
      <c r="V49" s="92">
        <v>0</v>
      </c>
      <c r="W49" s="23"/>
      <c r="X49" s="23"/>
      <c r="Y49" s="58" t="e">
        <f>X49/W49-1</f>
        <v>#DIV/0!</v>
      </c>
      <c r="Z49" s="92">
        <f t="shared" si="40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0"/>
        <v>0</v>
      </c>
      <c r="AE49" s="23">
        <f t="shared" si="42"/>
        <v>0</v>
      </c>
      <c r="AF49" s="23">
        <f t="shared" si="52"/>
        <v>0</v>
      </c>
      <c r="AG49" s="58">
        <f t="shared" si="54"/>
        <v>0</v>
      </c>
      <c r="AH49" s="92">
        <f t="shared" si="51"/>
        <v>0</v>
      </c>
    </row>
    <row r="50" spans="1:34">
      <c r="A50" s="418" t="s">
        <v>480</v>
      </c>
      <c r="B50" s="348"/>
      <c r="C50" s="378">
        <v>-9892</v>
      </c>
      <c r="D50" s="381">
        <v>-2424.9584500000001</v>
      </c>
      <c r="E50" s="378">
        <v>-6241.5990000000002</v>
      </c>
      <c r="F50" s="23">
        <v>-3830.0338200000001</v>
      </c>
      <c r="G50" s="23">
        <v>-4099.9849999999997</v>
      </c>
      <c r="H50" s="381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3"/>
        <v>-0.12055086784202973</v>
      </c>
      <c r="R50" s="92">
        <f t="shared" si="49"/>
        <v>343.11274128951663</v>
      </c>
      <c r="S50" s="23">
        <v>-3658.3797271519998</v>
      </c>
      <c r="T50" s="23">
        <v>-3293.1901219973424</v>
      </c>
      <c r="U50" s="58">
        <v>2.5685727338632929</v>
      </c>
      <c r="V50" s="92">
        <v>-2339.9697605494598</v>
      </c>
      <c r="W50" s="23">
        <v>-3330.5140532953942</v>
      </c>
      <c r="X50" s="23">
        <v>-3098.1284972823141</v>
      </c>
      <c r="Y50" s="58">
        <f>X50/W50-1</f>
        <v>-6.9774681113609183E-2</v>
      </c>
      <c r="Z50" s="92">
        <f t="shared" si="40"/>
        <v>232.38555601308008</v>
      </c>
      <c r="AA50" s="23">
        <v>-4440.2489485535862</v>
      </c>
      <c r="AB50" s="23">
        <v>-4440.2489485535862</v>
      </c>
      <c r="AC50" s="58">
        <f>AB50/AA50-1</f>
        <v>0</v>
      </c>
      <c r="AD50" s="92">
        <f t="shared" si="50"/>
        <v>0</v>
      </c>
      <c r="AE50" s="23">
        <f t="shared" si="42"/>
        <v>-9835.1009246309823</v>
      </c>
      <c r="AF50" s="23">
        <f t="shared" si="52"/>
        <v>-8894.4130221737287</v>
      </c>
      <c r="AG50" s="58">
        <f t="shared" si="54"/>
        <v>-9.5645983672765222E-2</v>
      </c>
      <c r="AH50" s="92">
        <f t="shared" si="51"/>
        <v>940.68790245725359</v>
      </c>
    </row>
    <row r="51" spans="1:34">
      <c r="A51" s="418" t="s">
        <v>481</v>
      </c>
      <c r="B51" s="350"/>
      <c r="C51" s="382">
        <v>0</v>
      </c>
      <c r="D51" s="382">
        <v>-8482.2513770875557</v>
      </c>
      <c r="E51" s="382">
        <v>-12648.48400233217</v>
      </c>
      <c r="F51" s="23">
        <v>-15161.074877599462</v>
      </c>
      <c r="G51" s="23">
        <v>-18342.442920000001</v>
      </c>
      <c r="H51" s="383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3"/>
        <v>0</v>
      </c>
      <c r="R51" s="342">
        <f t="shared" si="49"/>
        <v>0</v>
      </c>
      <c r="S51" s="340"/>
      <c r="T51" s="340"/>
      <c r="U51" s="76"/>
      <c r="V51" s="342"/>
      <c r="W51" s="340"/>
      <c r="X51" s="340"/>
      <c r="Y51" s="76"/>
      <c r="Z51" s="342"/>
      <c r="AA51" s="340"/>
      <c r="AB51" s="340"/>
      <c r="AC51" s="76"/>
      <c r="AD51" s="342"/>
      <c r="AE51" s="23">
        <f t="shared" si="42"/>
        <v>0</v>
      </c>
      <c r="AF51" s="23">
        <f t="shared" si="52"/>
        <v>0</v>
      </c>
      <c r="AG51" s="58">
        <f t="shared" ref="AG51" si="55">IFERROR(AF51/AE51-1,0)</f>
        <v>0</v>
      </c>
      <c r="AH51" s="92">
        <f t="shared" ref="AH51" si="56">AF51-AE51</f>
        <v>0</v>
      </c>
    </row>
    <row r="52" spans="1:34" ht="15" thickBot="1">
      <c r="A52" s="419" t="s">
        <v>482</v>
      </c>
      <c r="B52" s="319"/>
      <c r="C52" s="384">
        <f>C44-SUM(C45:C51)</f>
        <v>78723</v>
      </c>
      <c r="D52" s="384">
        <f>D44-SUM(D45:D51)</f>
        <v>80544.357089236029</v>
      </c>
      <c r="E52" s="384">
        <f t="shared" ref="E52:G52" si="57">E44-SUM(E45:E51)</f>
        <v>94617.149773757468</v>
      </c>
      <c r="F52" s="384">
        <f>F44-SUM(F45:F51)</f>
        <v>101561.89191249703</v>
      </c>
      <c r="G52" s="384">
        <f t="shared" si="57"/>
        <v>84056.964548076503</v>
      </c>
      <c r="H52" s="384">
        <f>H44-SUM(H45:H51)</f>
        <v>46331.677970303972</v>
      </c>
      <c r="I52" s="384">
        <f t="shared" ref="I52:L52" si="58">I44-SUM(I45:I51)</f>
        <v>22014.294035117142</v>
      </c>
      <c r="J52" s="384">
        <f t="shared" si="58"/>
        <v>7990.9613684409251</v>
      </c>
      <c r="K52" s="384">
        <f t="shared" si="58"/>
        <v>15173.008459606499</v>
      </c>
      <c r="L52" s="384">
        <f t="shared" si="58"/>
        <v>6005</v>
      </c>
      <c r="M52" s="386">
        <v>63180.4082839658</v>
      </c>
      <c r="N52" s="386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20060.744024017607</v>
      </c>
      <c r="X52" s="95">
        <f>X44-SUM(X45:X51)</f>
        <v>21053.7434217236</v>
      </c>
      <c r="Y52" s="64">
        <f>X52/W52-1</f>
        <v>4.9499629550984192E-2</v>
      </c>
      <c r="Z52" s="94">
        <f>X52-W52</f>
        <v>992.99939770599303</v>
      </c>
      <c r="AA52" s="95">
        <f>AA44-SUM(AA45:AA51)</f>
        <v>33720.687295526535</v>
      </c>
      <c r="AB52" s="95">
        <f>AB44-SUM(AB45:AB51)</f>
        <v>71084.7798700883</v>
      </c>
      <c r="AC52" s="64">
        <f>AB52/AA52-1</f>
        <v>1.108046590127437</v>
      </c>
      <c r="AD52" s="94">
        <f>AB52-AA52</f>
        <v>37364.092574561764</v>
      </c>
      <c r="AE52" s="95">
        <f>AE44-SUM(AE45:AE51)</f>
        <v>53002.01217035616</v>
      </c>
      <c r="AF52" s="95">
        <f>AF44-SUM(AF45:AF51)</f>
        <v>56508.337231561658</v>
      </c>
      <c r="AG52" s="64">
        <f>AF52/AE52-1</f>
        <v>6.6154565036807611E-2</v>
      </c>
      <c r="AH52" s="94">
        <f>AF52-AE52</f>
        <v>3506.3250612054981</v>
      </c>
    </row>
    <row r="53" spans="1:34">
      <c r="A53" s="414" t="s">
        <v>483</v>
      </c>
      <c r="B53" s="316"/>
      <c r="C53" s="9">
        <f>C52/C8</f>
        <v>0.30043506468724956</v>
      </c>
      <c r="D53" s="9">
        <f t="shared" ref="D53:L53" si="59">D52/D8</f>
        <v>0.25756462483513887</v>
      </c>
      <c r="E53" s="9">
        <f t="shared" si="59"/>
        <v>0.21816477182557248</v>
      </c>
      <c r="F53" s="9">
        <f t="shared" si="59"/>
        <v>0.24565502006975018</v>
      </c>
      <c r="G53" s="9">
        <f t="shared" si="59"/>
        <v>0.21157424003965966</v>
      </c>
      <c r="H53" s="9">
        <f t="shared" si="59"/>
        <v>0.12838777434269893</v>
      </c>
      <c r="I53" s="9">
        <f t="shared" si="59"/>
        <v>6.4733453801847654E-2</v>
      </c>
      <c r="J53" s="9">
        <f t="shared" si="59"/>
        <v>2.6140207184488555E-2</v>
      </c>
      <c r="K53" s="9">
        <f t="shared" si="59"/>
        <v>4.7981491790271676E-2</v>
      </c>
      <c r="L53" s="9">
        <f t="shared" si="59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v>0.25700941665266125</v>
      </c>
      <c r="U53" s="9"/>
      <c r="V53" s="54">
        <v>1.2874234866222245</v>
      </c>
      <c r="W53" s="9">
        <f>W52/W8</f>
        <v>0.24949589886509155</v>
      </c>
      <c r="X53" s="9">
        <f>X52/X8</f>
        <v>0.22235820460653427</v>
      </c>
      <c r="Y53" s="9"/>
      <c r="Z53" s="54">
        <f>(X53-W53)*100</f>
        <v>-2.7137694258557277</v>
      </c>
      <c r="AA53" s="9">
        <f>AA52/AA8</f>
        <v>0.30360596310375315</v>
      </c>
      <c r="AB53" s="9">
        <f>AB52/AB8</f>
        <v>0.64001551526322331</v>
      </c>
      <c r="AC53" s="9"/>
      <c r="AD53" s="54">
        <f>(AB53-AA53)*100</f>
        <v>33.640955215947017</v>
      </c>
      <c r="AE53" s="9">
        <f>AE52/AE8</f>
        <v>0.22916863444427943</v>
      </c>
      <c r="AF53" s="9">
        <f>AF52/AF8</f>
        <v>0.21485557096346908</v>
      </c>
      <c r="AG53" s="9"/>
      <c r="AH53" s="54">
        <f>(AF53-AE53)*100</f>
        <v>-1.4313063480810351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5"/>
  <cols>
    <col min="1" max="1" width="58.54296875" customWidth="1"/>
    <col min="2" max="2" width="1.54296875" customWidth="1"/>
    <col min="3" max="3" width="10.54296875" bestFit="1" customWidth="1"/>
    <col min="4" max="4" width="1.453125" customWidth="1"/>
    <col min="5" max="5" width="10.81640625" customWidth="1"/>
    <col min="6" max="6" width="1.54296875" customWidth="1"/>
    <col min="7" max="7" width="10.54296875" bestFit="1" customWidth="1"/>
    <col min="8" max="8" width="1.1796875" customWidth="1"/>
    <col min="9" max="9" width="9.81640625" bestFit="1" customWidth="1"/>
    <col min="10" max="10" width="9.1796875" hidden="1" customWidth="1"/>
    <col min="11" max="11" width="9.54296875" hidden="1" customWidth="1"/>
    <col min="12" max="12" width="11.1796875" hidden="1" customWidth="1"/>
    <col min="13" max="13" width="13.1796875" hidden="1" customWidth="1"/>
    <col min="14" max="14" width="15.54296875" hidden="1" customWidth="1"/>
    <col min="15" max="15" width="9.54296875" hidden="1" customWidth="1"/>
    <col min="16" max="17" width="9.1796875" hidden="1" customWidth="1"/>
    <col min="18" max="18" width="9.81640625" hidden="1" customWidth="1"/>
    <col min="19" max="20" width="0" hidden="1" customWidth="1"/>
  </cols>
  <sheetData>
    <row r="1" spans="1:17">
      <c r="A1" t="s">
        <v>314</v>
      </c>
      <c r="L1" t="s">
        <v>315</v>
      </c>
    </row>
    <row r="2" spans="1:17">
      <c r="N2" t="s">
        <v>316</v>
      </c>
      <c r="O2" t="s">
        <v>317</v>
      </c>
      <c r="P2" t="s">
        <v>255</v>
      </c>
    </row>
    <row r="3" spans="1:17" ht="15" thickBot="1">
      <c r="A3" s="236"/>
      <c r="B3" s="237"/>
      <c r="C3" s="409" t="s">
        <v>263</v>
      </c>
      <c r="D3" s="409"/>
      <c r="E3" s="409"/>
      <c r="F3" s="237"/>
      <c r="G3" s="410" t="s">
        <v>264</v>
      </c>
      <c r="H3" s="410"/>
      <c r="I3" s="410"/>
      <c r="L3" t="s">
        <v>318</v>
      </c>
      <c r="N3" s="238">
        <v>-6461</v>
      </c>
      <c r="O3" s="239">
        <v>-11194</v>
      </c>
      <c r="P3" s="238">
        <v>-326</v>
      </c>
    </row>
    <row r="4" spans="1:17" ht="1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319</v>
      </c>
      <c r="N4" s="238">
        <v>-6461</v>
      </c>
      <c r="O4" s="239">
        <v>-11194</v>
      </c>
      <c r="P4" s="238">
        <v>-326</v>
      </c>
    </row>
    <row r="5" spans="1:17" ht="1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320</v>
      </c>
      <c r="M5" t="s">
        <v>321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322</v>
      </c>
      <c r="N6" s="245">
        <f>368+79</f>
        <v>447</v>
      </c>
      <c r="O6" s="85" t="s">
        <v>323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324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325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76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326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327</v>
      </c>
      <c r="M11" t="s">
        <v>328</v>
      </c>
      <c r="N11" t="s">
        <v>329</v>
      </c>
      <c r="O11">
        <v>5838</v>
      </c>
    </row>
    <row r="12" spans="1:17">
      <c r="A12" s="247" t="s">
        <v>330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331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332</v>
      </c>
      <c r="N13" s="244">
        <v>180</v>
      </c>
    </row>
    <row r="14" spans="1:17">
      <c r="A14" s="247" t="s">
        <v>44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333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334</v>
      </c>
      <c r="N15" s="244">
        <v>3</v>
      </c>
    </row>
    <row r="16" spans="1:17">
      <c r="A16" s="252" t="s">
        <v>335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336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14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337</v>
      </c>
      <c r="N18">
        <v>-712</v>
      </c>
    </row>
    <row r="19" spans="1:16">
      <c r="A19" s="247" t="s">
        <v>338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15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339</v>
      </c>
      <c r="N20">
        <v>3857</v>
      </c>
    </row>
    <row r="21" spans="1:16">
      <c r="A21" s="247" t="s">
        <v>16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340</v>
      </c>
      <c r="M21" t="s">
        <v>341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342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343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344</v>
      </c>
      <c r="M24" t="s">
        <v>345</v>
      </c>
      <c r="N24">
        <v>-755</v>
      </c>
    </row>
    <row r="25" spans="1:16">
      <c r="A25" s="246" t="s">
        <v>17</v>
      </c>
      <c r="B25" s="237"/>
      <c r="C25" s="248"/>
      <c r="D25" s="248"/>
      <c r="E25" s="248"/>
      <c r="F25" s="248"/>
      <c r="G25" s="248"/>
      <c r="H25" s="248"/>
      <c r="I25" s="248"/>
      <c r="K25" t="s">
        <v>346</v>
      </c>
      <c r="M25" t="s">
        <v>347</v>
      </c>
      <c r="N25">
        <v>-2464</v>
      </c>
    </row>
    <row r="26" spans="1:16">
      <c r="A26" s="247" t="s">
        <v>348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76</v>
      </c>
      <c r="O26" t="s">
        <v>349</v>
      </c>
      <c r="P26" t="s">
        <v>350</v>
      </c>
    </row>
    <row r="27" spans="1:16">
      <c r="A27" s="247" t="s">
        <v>18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351</v>
      </c>
      <c r="O27">
        <v>83</v>
      </c>
    </row>
    <row r="28" spans="1:16">
      <c r="A28" s="247" t="s">
        <v>19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352</v>
      </c>
      <c r="O28">
        <f>630</f>
        <v>630</v>
      </c>
    </row>
    <row r="29" spans="1:16">
      <c r="A29" s="247" t="s">
        <v>52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96</v>
      </c>
      <c r="O29">
        <v>8</v>
      </c>
    </row>
    <row r="30" spans="1:16">
      <c r="A30" s="247" t="s">
        <v>20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353</v>
      </c>
      <c r="O30">
        <v>31</v>
      </c>
    </row>
    <row r="31" spans="1:16">
      <c r="A31" s="247" t="s">
        <v>354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129</v>
      </c>
      <c r="O31">
        <v>315</v>
      </c>
    </row>
    <row r="32" spans="1:16">
      <c r="A32" s="247" t="s">
        <v>21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355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356</v>
      </c>
      <c r="O33">
        <v>-192</v>
      </c>
    </row>
    <row r="34" spans="1:16" ht="1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357</v>
      </c>
      <c r="O34">
        <v>-428</v>
      </c>
    </row>
    <row r="35" spans="1:16">
      <c r="A35" s="236" t="s">
        <v>358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129</v>
      </c>
      <c r="O35">
        <f>-211+211-315</f>
        <v>-315</v>
      </c>
    </row>
    <row r="36" spans="1:16">
      <c r="A36" s="247" t="s">
        <v>22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359</v>
      </c>
      <c r="O36">
        <v>-51</v>
      </c>
    </row>
    <row r="37" spans="1:16" ht="15" thickBot="1">
      <c r="A37" s="247" t="s">
        <v>23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360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" thickBot="1">
      <c r="A39" s="246" t="s">
        <v>361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24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362</v>
      </c>
      <c r="B42" s="237"/>
      <c r="C42" s="248"/>
      <c r="D42" s="248"/>
      <c r="E42" s="264"/>
      <c r="F42" s="248"/>
      <c r="G42" s="248"/>
      <c r="H42" s="248"/>
      <c r="I42" s="216"/>
      <c r="K42" t="s">
        <v>363</v>
      </c>
      <c r="M42" s="245"/>
      <c r="N42" s="85" t="s">
        <v>72</v>
      </c>
      <c r="O42" s="51" t="s">
        <v>74</v>
      </c>
    </row>
    <row r="43" spans="1:16">
      <c r="A43" s="247" t="s">
        <v>364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365</v>
      </c>
      <c r="N43">
        <v>12507</v>
      </c>
      <c r="O43">
        <v>1752</v>
      </c>
      <c r="P43">
        <f>SUM(N43:O43)</f>
        <v>14259</v>
      </c>
    </row>
    <row r="44" spans="1:16">
      <c r="A44" s="247" t="s">
        <v>366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367</v>
      </c>
      <c r="N44">
        <v>870</v>
      </c>
      <c r="O44">
        <v>173</v>
      </c>
      <c r="P44">
        <f>SUM(N44:O44)</f>
        <v>1043</v>
      </c>
    </row>
    <row r="45" spans="1:16">
      <c r="A45" s="247" t="s">
        <v>368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369</v>
      </c>
      <c r="B46" s="237"/>
      <c r="C46" s="248"/>
      <c r="D46" s="248"/>
      <c r="E46" s="248"/>
      <c r="F46" s="248"/>
      <c r="G46" s="248"/>
      <c r="H46" s="248"/>
      <c r="I46" s="248"/>
      <c r="M46" t="s">
        <v>370</v>
      </c>
    </row>
    <row r="47" spans="1:16">
      <c r="A47" s="247" t="s">
        <v>371</v>
      </c>
      <c r="B47" s="237"/>
      <c r="C47" s="248"/>
      <c r="D47" s="248"/>
      <c r="E47" s="248"/>
      <c r="F47" s="248"/>
      <c r="G47" s="248"/>
      <c r="H47" s="248"/>
      <c r="I47" s="248"/>
      <c r="M47" t="s">
        <v>372</v>
      </c>
      <c r="N47">
        <v>-76147</v>
      </c>
    </row>
    <row r="48" spans="1:16">
      <c r="A48" s="247" t="s">
        <v>373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374</v>
      </c>
      <c r="N48">
        <v>-2747</v>
      </c>
    </row>
    <row r="49" spans="1:14">
      <c r="A49" s="247" t="s">
        <v>25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375</v>
      </c>
      <c r="N49">
        <v>9889</v>
      </c>
    </row>
    <row r="50" spans="1:14">
      <c r="A50" s="247" t="s">
        <v>376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377</v>
      </c>
      <c r="N50">
        <v>-2618</v>
      </c>
    </row>
    <row r="51" spans="1:14">
      <c r="A51" s="247" t="s">
        <v>378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379</v>
      </c>
      <c r="N51">
        <v>11023</v>
      </c>
    </row>
    <row r="52" spans="1:14" ht="15" thickBot="1">
      <c r="A52" s="247" t="s">
        <v>380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381</v>
      </c>
      <c r="N53">
        <f>N47+N49+N50+N51</f>
        <v>-57853</v>
      </c>
    </row>
    <row r="54" spans="1:14" ht="15" thickBot="1">
      <c r="A54" s="246" t="s">
        <v>382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26</v>
      </c>
      <c r="B56" s="237"/>
      <c r="C56" s="248"/>
      <c r="D56" s="237"/>
      <c r="E56" s="248"/>
      <c r="F56" s="237"/>
      <c r="G56" s="248"/>
      <c r="H56" s="237"/>
      <c r="I56" s="248"/>
      <c r="M56" s="267" t="s">
        <v>383</v>
      </c>
    </row>
    <row r="57" spans="1:14">
      <c r="A57" s="247" t="s">
        <v>384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385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386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387</v>
      </c>
      <c r="B60" s="237"/>
      <c r="C60" s="248"/>
      <c r="D60" s="248"/>
      <c r="E60" s="248"/>
      <c r="F60" s="248"/>
      <c r="G60" s="248"/>
      <c r="H60" s="248"/>
      <c r="I60" s="253"/>
      <c r="J60" s="234" t="s">
        <v>388</v>
      </c>
    </row>
    <row r="61" spans="1:14">
      <c r="A61" s="247" t="s">
        <v>27</v>
      </c>
      <c r="B61" s="237"/>
      <c r="C61" s="238"/>
      <c r="D61" s="248"/>
      <c r="E61" s="248"/>
      <c r="F61" s="248"/>
      <c r="G61" s="248"/>
      <c r="H61" s="248"/>
      <c r="I61" s="269"/>
    </row>
    <row r="62" spans="1:14" ht="1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389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28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" thickBot="1">
      <c r="A67" s="246" t="s">
        <v>390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" thickBot="1">
      <c r="A69" s="246" t="s">
        <v>391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392</v>
      </c>
      <c r="N77" t="s">
        <v>393</v>
      </c>
      <c r="O77" t="s">
        <v>394</v>
      </c>
      <c r="P77" t="s">
        <v>395</v>
      </c>
      <c r="Q77" t="s">
        <v>396</v>
      </c>
      <c r="R77" t="s">
        <v>78</v>
      </c>
    </row>
    <row r="78" spans="1:18">
      <c r="M78" t="s">
        <v>397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398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J69"/>
  <sheetViews>
    <sheetView showGridLines="0" zoomScale="90" zoomScaleNormal="90" workbookViewId="0">
      <pane xSplit="4" ySplit="3" topLeftCell="E4" activePane="bottomRight" state="frozen"/>
      <selection activeCell="AM17" sqref="AM17"/>
      <selection pane="topRight" activeCell="AM17" sqref="AM17"/>
      <selection pane="bottomLeft" activeCell="AM17" sqref="AM17"/>
      <selection pane="bottomRight" activeCell="J1" sqref="J1:L1048576"/>
    </sheetView>
  </sheetViews>
  <sheetFormatPr defaultColWidth="9.1796875" defaultRowHeight="12" outlineLevelCol="1"/>
  <cols>
    <col min="1" max="3" width="2.81640625" style="351" customWidth="1"/>
    <col min="4" max="4" width="53.81640625" style="351" bestFit="1" customWidth="1"/>
    <col min="5" max="6" width="11.81640625" style="352" customWidth="1" outlineLevel="1"/>
    <col min="7" max="7" width="10.453125" style="353" customWidth="1" outlineLevel="1"/>
    <col min="8" max="8" width="13.1796875" style="353" customWidth="1" outlineLevel="1"/>
    <col min="9" max="16384" width="9.1796875" style="352"/>
  </cols>
  <sheetData>
    <row r="1" spans="1:8" ht="90" customHeight="1" thickBot="1"/>
    <row r="2" spans="1:8" ht="12.5" thickBot="1">
      <c r="A2" s="327" t="s">
        <v>484</v>
      </c>
      <c r="B2" s="328"/>
      <c r="C2" s="328"/>
      <c r="D2" s="321"/>
      <c r="E2" s="2">
        <v>45199</v>
      </c>
      <c r="F2" s="2">
        <v>45565</v>
      </c>
      <c r="G2" s="2" t="s">
        <v>0</v>
      </c>
      <c r="H2" s="2" t="s">
        <v>1</v>
      </c>
    </row>
    <row r="3" spans="1:8" ht="15.75" customHeight="1">
      <c r="A3" s="329" t="s">
        <v>485</v>
      </c>
      <c r="B3" s="322"/>
      <c r="C3" s="3"/>
      <c r="D3" s="3"/>
      <c r="E3" s="52"/>
      <c r="F3" s="48"/>
      <c r="G3" s="68"/>
      <c r="H3" s="69"/>
    </row>
    <row r="4" spans="1:8" ht="15.75" customHeight="1">
      <c r="A4" s="330"/>
      <c r="B4" s="331" t="s">
        <v>486</v>
      </c>
      <c r="C4" s="331"/>
      <c r="D4" s="331"/>
      <c r="E4" s="49"/>
      <c r="F4" s="49"/>
      <c r="G4" s="81"/>
      <c r="H4" s="83"/>
    </row>
    <row r="5" spans="1:8" ht="15.75" customHeight="1">
      <c r="A5" s="330"/>
      <c r="B5" s="331"/>
      <c r="C5" s="331"/>
      <c r="D5" s="331" t="s">
        <v>487</v>
      </c>
      <c r="E5" s="16">
        <v>114833</v>
      </c>
      <c r="F5" s="16">
        <v>124126</v>
      </c>
      <c r="G5" s="58">
        <f>F5/E5-1</f>
        <v>8.0926214589882806E-2</v>
      </c>
      <c r="H5" s="100">
        <f>F5-E5</f>
        <v>9293</v>
      </c>
    </row>
    <row r="6" spans="1:8">
      <c r="A6" s="330"/>
      <c r="B6" s="331"/>
      <c r="C6" s="331"/>
      <c r="D6" s="331" t="s">
        <v>488</v>
      </c>
      <c r="E6" s="16">
        <v>186</v>
      </c>
      <c r="F6" s="16">
        <v>368</v>
      </c>
      <c r="G6" s="58">
        <f t="shared" ref="G6" si="0">F6/E6-1</f>
        <v>0.978494623655914</v>
      </c>
      <c r="H6" s="100">
        <f t="shared" ref="H6:H9" si="1">F6-E6</f>
        <v>182</v>
      </c>
    </row>
    <row r="7" spans="1:8" ht="15.75" customHeight="1">
      <c r="A7" s="330"/>
      <c r="B7" s="331"/>
      <c r="C7" s="331"/>
      <c r="D7" s="331" t="s">
        <v>489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</row>
    <row r="8" spans="1:8" ht="15.75" customHeight="1">
      <c r="A8" s="330"/>
      <c r="B8" s="331"/>
      <c r="C8" s="331"/>
      <c r="D8" s="331" t="s">
        <v>490</v>
      </c>
      <c r="E8" s="12">
        <v>129822</v>
      </c>
      <c r="F8" s="16">
        <v>151578</v>
      </c>
      <c r="G8" s="58">
        <f t="shared" ref="G8:G9" si="2">IFERROR(F8/E8-1,0)</f>
        <v>0.16758330637334207</v>
      </c>
      <c r="H8" s="100">
        <f t="shared" si="1"/>
        <v>21756</v>
      </c>
    </row>
    <row r="9" spans="1:8">
      <c r="A9" s="330"/>
      <c r="B9" s="331"/>
      <c r="C9" s="331"/>
      <c r="D9" s="331" t="s">
        <v>491</v>
      </c>
      <c r="E9" s="16">
        <v>129961</v>
      </c>
      <c r="F9" s="16">
        <v>146076</v>
      </c>
      <c r="G9" s="58">
        <f t="shared" si="2"/>
        <v>0.12399873808296324</v>
      </c>
      <c r="H9" s="100">
        <f t="shared" si="1"/>
        <v>16115</v>
      </c>
    </row>
    <row r="10" spans="1:8">
      <c r="A10" s="330"/>
      <c r="B10" s="331"/>
      <c r="C10" s="331"/>
      <c r="D10" s="331" t="s">
        <v>492</v>
      </c>
      <c r="E10" s="16">
        <v>7586</v>
      </c>
      <c r="F10" s="16">
        <v>7719</v>
      </c>
      <c r="G10" s="58">
        <f>IFERROR(F10/E10-1,0)</f>
        <v>1.753229633535458E-2</v>
      </c>
      <c r="H10" s="100">
        <f>F10-E10</f>
        <v>133</v>
      </c>
    </row>
    <row r="11" spans="1:8">
      <c r="A11" s="330"/>
      <c r="B11" s="331"/>
      <c r="C11" s="331"/>
      <c r="D11" s="331" t="s">
        <v>493</v>
      </c>
      <c r="E11" s="16">
        <v>24075</v>
      </c>
      <c r="F11" s="16">
        <v>15282</v>
      </c>
      <c r="G11" s="58">
        <f>IFERROR(F11/E11-1,0)</f>
        <v>-0.36523364485981313</v>
      </c>
      <c r="H11" s="100">
        <f>F11-E11</f>
        <v>-8793</v>
      </c>
    </row>
    <row r="12" spans="1:8">
      <c r="A12" s="330"/>
      <c r="B12" s="331"/>
      <c r="C12" s="331"/>
      <c r="D12" s="331" t="s">
        <v>494</v>
      </c>
      <c r="E12" s="16">
        <v>805</v>
      </c>
      <c r="F12" s="16">
        <v>714</v>
      </c>
      <c r="G12" s="58">
        <f>IFERROR(F12/E12-1,0)</f>
        <v>-0.11304347826086958</v>
      </c>
      <c r="H12" s="100">
        <f>F12-E12</f>
        <v>-91</v>
      </c>
    </row>
    <row r="13" spans="1:8">
      <c r="A13" s="330"/>
      <c r="B13" s="331"/>
      <c r="C13" s="331"/>
      <c r="D13" s="331" t="s">
        <v>495</v>
      </c>
      <c r="E13" s="16">
        <v>17473</v>
      </c>
      <c r="F13" s="16">
        <v>17968</v>
      </c>
      <c r="G13" s="58">
        <f>IFERROR(F13/E13-1,0)</f>
        <v>2.8329422537629378E-2</v>
      </c>
      <c r="H13" s="100">
        <f>F13-E13</f>
        <v>495</v>
      </c>
    </row>
    <row r="14" spans="1:8">
      <c r="A14" s="330"/>
      <c r="B14" s="331"/>
      <c r="C14" s="331"/>
      <c r="D14" s="331" t="s">
        <v>496</v>
      </c>
      <c r="E14" s="16">
        <v>438</v>
      </c>
      <c r="F14" s="16">
        <v>0</v>
      </c>
      <c r="G14" s="58">
        <f>IFERROR(F14/E14-1,0)</f>
        <v>-1</v>
      </c>
      <c r="H14" s="100">
        <f>F14-E14</f>
        <v>-438</v>
      </c>
    </row>
    <row r="15" spans="1:8">
      <c r="A15" s="330"/>
      <c r="B15" s="331"/>
      <c r="C15" s="331"/>
      <c r="D15" s="331" t="s">
        <v>497</v>
      </c>
      <c r="E15" s="16"/>
      <c r="F15" s="16"/>
      <c r="G15" s="58"/>
      <c r="H15" s="100"/>
    </row>
    <row r="16" spans="1:8">
      <c r="A16" s="330"/>
      <c r="B16" s="331"/>
      <c r="C16" s="331" t="s">
        <v>498</v>
      </c>
      <c r="D16" s="3"/>
      <c r="E16" s="16"/>
      <c r="F16" s="16"/>
      <c r="G16" s="76"/>
      <c r="H16" s="100"/>
    </row>
    <row r="17" spans="1:8">
      <c r="A17" s="330"/>
      <c r="B17" s="331"/>
      <c r="C17" s="331"/>
      <c r="D17" s="331" t="s">
        <v>499</v>
      </c>
      <c r="E17" s="16"/>
      <c r="F17" s="16"/>
      <c r="G17" s="58">
        <f t="shared" ref="G17:G22" si="3">IFERROR(F17/E17-1,0)</f>
        <v>0</v>
      </c>
      <c r="H17" s="100">
        <f>F17-E17</f>
        <v>0</v>
      </c>
    </row>
    <row r="18" spans="1:8">
      <c r="A18" s="330"/>
      <c r="B18" s="331"/>
      <c r="C18" s="331"/>
      <c r="D18" s="331" t="s">
        <v>500</v>
      </c>
      <c r="E18" s="16">
        <v>1250</v>
      </c>
      <c r="F18" s="16">
        <v>500</v>
      </c>
      <c r="G18" s="58">
        <f t="shared" si="3"/>
        <v>-0.6</v>
      </c>
      <c r="H18" s="100">
        <f t="shared" ref="H18:H22" si="4">F18-E18</f>
        <v>-750</v>
      </c>
    </row>
    <row r="19" spans="1:8">
      <c r="A19" s="330"/>
      <c r="B19" s="331"/>
      <c r="C19" s="331"/>
      <c r="D19" s="331" t="s">
        <v>501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</row>
    <row r="20" spans="1:8">
      <c r="A20" s="330"/>
      <c r="B20" s="331"/>
      <c r="C20" s="331"/>
      <c r="D20" s="331" t="s">
        <v>494</v>
      </c>
      <c r="E20" s="16">
        <v>3241</v>
      </c>
      <c r="F20" s="16">
        <v>3283</v>
      </c>
      <c r="G20" s="58">
        <f t="shared" si="3"/>
        <v>1.2958963282937441E-2</v>
      </c>
      <c r="H20" s="100">
        <f t="shared" si="4"/>
        <v>42</v>
      </c>
    </row>
    <row r="21" spans="1:8">
      <c r="A21" s="330"/>
      <c r="B21" s="331"/>
      <c r="C21" s="3"/>
      <c r="D21" s="3" t="s">
        <v>502</v>
      </c>
      <c r="E21" s="16">
        <v>4988</v>
      </c>
      <c r="F21" s="16">
        <v>6937</v>
      </c>
      <c r="G21" s="58">
        <f t="shared" si="3"/>
        <v>0.39073777064955895</v>
      </c>
      <c r="H21" s="100">
        <f t="shared" si="4"/>
        <v>1949</v>
      </c>
    </row>
    <row r="22" spans="1:8">
      <c r="A22" s="330"/>
      <c r="B22" s="331"/>
      <c r="C22" s="331"/>
      <c r="D22" s="331" t="s">
        <v>496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</row>
    <row r="23" spans="1:8">
      <c r="A23" s="330"/>
      <c r="B23" s="331"/>
      <c r="C23" s="331" t="s">
        <v>503</v>
      </c>
      <c r="D23" s="322"/>
      <c r="E23" s="16"/>
      <c r="F23" s="16"/>
      <c r="G23" s="76"/>
      <c r="H23" s="100"/>
    </row>
    <row r="24" spans="1:8">
      <c r="A24" s="330"/>
      <c r="B24" s="331"/>
      <c r="C24" s="331"/>
      <c r="D24" s="331" t="s">
        <v>504</v>
      </c>
      <c r="E24" s="16">
        <v>190187</v>
      </c>
      <c r="F24" s="16">
        <v>191493</v>
      </c>
      <c r="G24" s="58">
        <f>F24/E24-1</f>
        <v>6.8669257099591707E-3</v>
      </c>
      <c r="H24" s="100">
        <f t="shared" ref="H24:H25" si="5">F24-E24</f>
        <v>1306</v>
      </c>
    </row>
    <row r="25" spans="1:8">
      <c r="A25" s="330"/>
      <c r="B25" s="331"/>
      <c r="C25" s="331"/>
      <c r="D25" s="331" t="s">
        <v>505</v>
      </c>
      <c r="E25" s="16">
        <v>26640</v>
      </c>
      <c r="F25" s="16">
        <v>27426</v>
      </c>
      <c r="G25" s="58">
        <f>F25/E25-1</f>
        <v>2.9504504504504592E-2</v>
      </c>
      <c r="H25" s="100">
        <f t="shared" si="5"/>
        <v>786</v>
      </c>
    </row>
    <row r="26" spans="1:8">
      <c r="A26" s="323" t="s">
        <v>506</v>
      </c>
      <c r="B26" s="324"/>
      <c r="C26" s="324"/>
      <c r="D26" s="325"/>
      <c r="E26" s="34">
        <f>SUM(E5:E25)</f>
        <v>651485</v>
      </c>
      <c r="F26" s="34">
        <f>SUM(F5:F25)</f>
        <v>693470</v>
      </c>
      <c r="G26" s="82">
        <f>F26/E26-1</f>
        <v>6.4445075481400105E-2</v>
      </c>
      <c r="H26" s="84">
        <f>F26-E26</f>
        <v>41985</v>
      </c>
    </row>
    <row r="27" spans="1:8">
      <c r="A27" s="330" t="s">
        <v>507</v>
      </c>
      <c r="B27" s="331"/>
      <c r="C27" s="331"/>
      <c r="D27" s="331"/>
      <c r="E27" s="50"/>
      <c r="F27" s="50"/>
      <c r="G27" s="58"/>
      <c r="H27" s="59"/>
    </row>
    <row r="28" spans="1:8">
      <c r="A28" s="330"/>
      <c r="B28" s="331" t="s">
        <v>508</v>
      </c>
      <c r="C28" s="331"/>
      <c r="D28" s="331"/>
      <c r="E28" s="50"/>
      <c r="F28" s="50"/>
      <c r="G28" s="58"/>
      <c r="H28" s="59"/>
    </row>
    <row r="29" spans="1:8">
      <c r="A29" s="330"/>
      <c r="B29" s="331"/>
      <c r="C29" s="331"/>
      <c r="D29" s="331" t="s">
        <v>509</v>
      </c>
      <c r="E29" s="12"/>
      <c r="F29" s="12"/>
      <c r="G29" s="58"/>
      <c r="H29" s="59"/>
    </row>
    <row r="30" spans="1:8">
      <c r="A30" s="330"/>
      <c r="B30" s="331"/>
      <c r="C30" s="331"/>
      <c r="D30" s="331" t="s">
        <v>510</v>
      </c>
      <c r="E30" s="12">
        <v>15921</v>
      </c>
      <c r="F30" s="16">
        <v>13998</v>
      </c>
      <c r="G30" s="58">
        <f t="shared" ref="G30:G42" si="6">IFERROR(F30/E30-1,0)</f>
        <v>-0.12078387035990201</v>
      </c>
      <c r="H30" s="100">
        <f>F30-E30</f>
        <v>-1923</v>
      </c>
    </row>
    <row r="31" spans="1:8">
      <c r="A31" s="330"/>
      <c r="B31" s="331"/>
      <c r="C31" s="331"/>
      <c r="D31" s="331" t="s">
        <v>511</v>
      </c>
      <c r="E31" s="12">
        <v>48076</v>
      </c>
      <c r="F31" s="16">
        <v>67105</v>
      </c>
      <c r="G31" s="58">
        <f t="shared" si="6"/>
        <v>0.39581079956735166</v>
      </c>
      <c r="H31" s="100">
        <f t="shared" ref="H31:H42" si="7">F31-E31</f>
        <v>19029</v>
      </c>
    </row>
    <row r="32" spans="1:8">
      <c r="A32" s="330"/>
      <c r="B32" s="331"/>
      <c r="C32" s="331"/>
      <c r="D32" s="331"/>
      <c r="E32" s="16">
        <v>119</v>
      </c>
      <c r="F32" s="16">
        <v>67</v>
      </c>
      <c r="G32" s="58"/>
      <c r="H32" s="100"/>
    </row>
    <row r="33" spans="1:10">
      <c r="A33" s="330"/>
      <c r="B33" s="331"/>
      <c r="C33" s="331"/>
      <c r="D33" s="331" t="s">
        <v>512</v>
      </c>
      <c r="E33" s="12">
        <v>8807</v>
      </c>
      <c r="F33" s="16">
        <v>5402</v>
      </c>
      <c r="G33" s="58">
        <f t="shared" si="6"/>
        <v>-0.38662427614397643</v>
      </c>
      <c r="H33" s="100">
        <f t="shared" si="7"/>
        <v>-3405</v>
      </c>
    </row>
    <row r="34" spans="1:10">
      <c r="A34" s="330"/>
      <c r="B34" s="331"/>
      <c r="C34" s="331"/>
      <c r="D34" s="331" t="s">
        <v>513</v>
      </c>
      <c r="E34" s="12">
        <v>0</v>
      </c>
      <c r="F34" s="16">
        <v>414</v>
      </c>
      <c r="G34" s="58">
        <f t="shared" si="6"/>
        <v>0</v>
      </c>
      <c r="H34" s="100">
        <f t="shared" si="7"/>
        <v>414</v>
      </c>
    </row>
    <row r="35" spans="1:10">
      <c r="A35" s="330"/>
      <c r="B35" s="331"/>
      <c r="C35" s="331"/>
      <c r="D35" s="331" t="s">
        <v>514</v>
      </c>
      <c r="E35" s="12">
        <v>1103</v>
      </c>
      <c r="F35" s="16">
        <v>0</v>
      </c>
      <c r="G35" s="58">
        <f t="shared" si="6"/>
        <v>-1</v>
      </c>
      <c r="H35" s="100">
        <f t="shared" si="7"/>
        <v>-1103</v>
      </c>
    </row>
    <row r="36" spans="1:10">
      <c r="A36" s="330"/>
      <c r="B36" s="331"/>
      <c r="C36" s="331"/>
      <c r="D36" s="331" t="s">
        <v>515</v>
      </c>
      <c r="E36" s="16">
        <v>11633</v>
      </c>
      <c r="F36" s="16">
        <v>13036</v>
      </c>
      <c r="G36" s="58">
        <f t="shared" si="6"/>
        <v>0.12060517493337919</v>
      </c>
      <c r="H36" s="100">
        <f t="shared" si="7"/>
        <v>1403</v>
      </c>
    </row>
    <row r="37" spans="1:10">
      <c r="A37" s="330"/>
      <c r="B37" s="331"/>
      <c r="C37" s="331"/>
      <c r="D37" s="331" t="s">
        <v>516</v>
      </c>
      <c r="E37" s="16">
        <v>1371</v>
      </c>
      <c r="F37" s="16">
        <v>129</v>
      </c>
      <c r="G37" s="58">
        <f t="shared" si="6"/>
        <v>-0.9059080962800875</v>
      </c>
      <c r="H37" s="100">
        <f t="shared" si="7"/>
        <v>-1242</v>
      </c>
    </row>
    <row r="38" spans="1:10">
      <c r="A38" s="330"/>
      <c r="B38" s="331"/>
      <c r="C38" s="331"/>
      <c r="D38" s="331" t="s">
        <v>495</v>
      </c>
      <c r="E38" s="16">
        <v>198</v>
      </c>
      <c r="F38" s="16">
        <v>1310</v>
      </c>
      <c r="G38" s="58">
        <f t="shared" si="6"/>
        <v>5.6161616161616159</v>
      </c>
      <c r="H38" s="100">
        <f t="shared" si="7"/>
        <v>1112</v>
      </c>
    </row>
    <row r="39" spans="1:10">
      <c r="A39" s="330"/>
      <c r="B39" s="331"/>
      <c r="C39" s="331"/>
      <c r="D39" s="331" t="s">
        <v>517</v>
      </c>
      <c r="E39" s="16">
        <v>1875</v>
      </c>
      <c r="F39" s="16">
        <v>1628</v>
      </c>
      <c r="G39" s="58">
        <f t="shared" si="6"/>
        <v>-0.13173333333333337</v>
      </c>
      <c r="H39" s="100">
        <f t="shared" si="7"/>
        <v>-247</v>
      </c>
    </row>
    <row r="40" spans="1:10">
      <c r="A40" s="330"/>
      <c r="B40" s="331"/>
      <c r="C40" s="331"/>
      <c r="D40" s="331" t="s">
        <v>518</v>
      </c>
      <c r="E40" s="16">
        <v>9754</v>
      </c>
      <c r="F40" s="16">
        <v>8253</v>
      </c>
      <c r="G40" s="58">
        <f t="shared" si="6"/>
        <v>-0.15388558540086117</v>
      </c>
      <c r="H40" s="100">
        <f t="shared" si="7"/>
        <v>-1501</v>
      </c>
    </row>
    <row r="41" spans="1:10">
      <c r="A41" s="330"/>
      <c r="B41" s="331"/>
      <c r="C41" s="331"/>
      <c r="D41" s="331" t="s">
        <v>519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</row>
    <row r="42" spans="1:10">
      <c r="A42" s="330"/>
      <c r="B42" s="331"/>
      <c r="C42" s="331"/>
      <c r="D42" s="331" t="s">
        <v>520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</row>
    <row r="43" spans="1:10">
      <c r="A43" s="330"/>
      <c r="B43" s="331" t="s">
        <v>521</v>
      </c>
      <c r="C43" s="3"/>
      <c r="D43" s="3"/>
      <c r="E43" s="16"/>
      <c r="F43" s="16"/>
      <c r="G43" s="58"/>
      <c r="H43" s="100"/>
    </row>
    <row r="44" spans="1:10">
      <c r="A44" s="330"/>
      <c r="B44" s="331"/>
      <c r="C44" s="331"/>
      <c r="D44" s="331" t="s">
        <v>510</v>
      </c>
      <c r="E44" s="16">
        <v>81357</v>
      </c>
      <c r="F44" s="16">
        <v>93035</v>
      </c>
      <c r="G44" s="58">
        <f t="shared" ref="G44:G53" si="8">IFERROR(F44/E44-1,0)</f>
        <v>0.1435401993682166</v>
      </c>
      <c r="H44" s="100">
        <f t="shared" ref="H44:H53" si="9">F44-E44</f>
        <v>11678</v>
      </c>
    </row>
    <row r="45" spans="1:10">
      <c r="A45" s="330"/>
      <c r="B45" s="331"/>
      <c r="C45" s="331"/>
      <c r="D45" s="331" t="s">
        <v>512</v>
      </c>
      <c r="E45" s="16">
        <v>1395</v>
      </c>
      <c r="F45" s="16">
        <v>1227</v>
      </c>
      <c r="G45" s="58">
        <f t="shared" si="8"/>
        <v>-0.12043010752688177</v>
      </c>
      <c r="H45" s="100">
        <f t="shared" si="9"/>
        <v>-168</v>
      </c>
    </row>
    <row r="46" spans="1:10">
      <c r="A46" s="330"/>
      <c r="B46" s="331"/>
      <c r="C46" s="331"/>
      <c r="D46" s="331" t="s">
        <v>513</v>
      </c>
      <c r="E46" s="16">
        <v>22473</v>
      </c>
      <c r="F46" s="16">
        <v>32356</v>
      </c>
      <c r="G46" s="58">
        <f t="shared" si="8"/>
        <v>0.43977217104970401</v>
      </c>
      <c r="H46" s="100">
        <f t="shared" si="9"/>
        <v>9883</v>
      </c>
      <c r="J46" s="356"/>
    </row>
    <row r="47" spans="1:10">
      <c r="A47" s="330"/>
      <c r="B47" s="331"/>
      <c r="C47" s="331"/>
      <c r="D47" s="331" t="s">
        <v>522</v>
      </c>
      <c r="E47" s="16">
        <v>62542</v>
      </c>
      <c r="F47" s="16">
        <v>47552</v>
      </c>
      <c r="G47" s="58">
        <f t="shared" si="8"/>
        <v>-0.23967893575517252</v>
      </c>
      <c r="H47" s="100">
        <f t="shared" si="9"/>
        <v>-14990</v>
      </c>
    </row>
    <row r="48" spans="1:10">
      <c r="A48" s="330"/>
      <c r="B48" s="331"/>
      <c r="C48" s="331"/>
      <c r="D48" s="331" t="s">
        <v>495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</row>
    <row r="49" spans="1:9">
      <c r="A49" s="330"/>
      <c r="B49" s="331"/>
      <c r="C49" s="331"/>
      <c r="D49" s="331" t="s">
        <v>523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</row>
    <row r="50" spans="1:9">
      <c r="A50" s="330"/>
      <c r="B50" s="331"/>
      <c r="C50" s="331"/>
      <c r="D50" s="331" t="s">
        <v>403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</row>
    <row r="51" spans="1:9">
      <c r="A51" s="330"/>
      <c r="B51" s="331"/>
      <c r="C51" s="331"/>
      <c r="D51" s="331" t="s">
        <v>402</v>
      </c>
      <c r="E51" s="12">
        <v>3015</v>
      </c>
      <c r="F51" s="16">
        <v>2115</v>
      </c>
      <c r="G51" s="58">
        <f t="shared" si="8"/>
        <v>-0.29850746268656714</v>
      </c>
      <c r="H51" s="100">
        <f t="shared" si="9"/>
        <v>-900</v>
      </c>
    </row>
    <row r="52" spans="1:9">
      <c r="A52" s="330"/>
      <c r="B52" s="331"/>
      <c r="C52" s="331"/>
      <c r="D52" s="331" t="s">
        <v>405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</row>
    <row r="53" spans="1:9">
      <c r="A53" s="330"/>
      <c r="B53" s="331"/>
      <c r="C53" s="331"/>
      <c r="D53" s="331" t="s">
        <v>518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</row>
    <row r="54" spans="1:9">
      <c r="A54" s="323" t="s">
        <v>524</v>
      </c>
      <c r="B54" s="324"/>
      <c r="C54" s="324"/>
      <c r="D54" s="324"/>
      <c r="E54" s="34">
        <f>SUM(E29:E53)</f>
        <v>271348</v>
      </c>
      <c r="F54" s="34">
        <f>SUM(F29:F53)</f>
        <v>289336</v>
      </c>
      <c r="G54" s="82">
        <f>F54/E54-1</f>
        <v>6.6291256983652014E-2</v>
      </c>
      <c r="H54" s="84">
        <f>F54-E54</f>
        <v>17988</v>
      </c>
    </row>
    <row r="55" spans="1:9">
      <c r="A55" s="330" t="s">
        <v>525</v>
      </c>
      <c r="B55" s="331"/>
      <c r="C55" s="331"/>
      <c r="D55" s="331"/>
      <c r="E55" s="50"/>
      <c r="F55" s="50"/>
      <c r="G55" s="58"/>
      <c r="H55" s="59"/>
    </row>
    <row r="56" spans="1:9">
      <c r="A56" s="330"/>
      <c r="B56" s="331" t="s">
        <v>526</v>
      </c>
      <c r="C56" s="331"/>
      <c r="D56" s="331"/>
      <c r="E56" s="16">
        <v>130583</v>
      </c>
      <c r="F56" s="16">
        <v>130583</v>
      </c>
      <c r="G56" s="58">
        <f t="shared" ref="G56:G61" si="10">F56/E56-1</f>
        <v>0</v>
      </c>
      <c r="H56" s="100">
        <f t="shared" ref="H56:H61" si="11">F56-E56</f>
        <v>0</v>
      </c>
    </row>
    <row r="57" spans="1:9">
      <c r="A57" s="330"/>
      <c r="B57" s="331" t="s">
        <v>527</v>
      </c>
      <c r="C57" s="331"/>
      <c r="D57" s="331"/>
      <c r="E57" s="16">
        <v>-4041</v>
      </c>
      <c r="F57" s="16">
        <v>-137</v>
      </c>
      <c r="G57" s="58">
        <f t="shared" si="10"/>
        <v>-0.96609750061865873</v>
      </c>
      <c r="H57" s="100"/>
    </row>
    <row r="58" spans="1:9">
      <c r="A58" s="330"/>
      <c r="B58" s="331" t="s">
        <v>528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</row>
    <row r="59" spans="1:9">
      <c r="A59" s="330"/>
      <c r="B59" s="331" t="s">
        <v>529</v>
      </c>
      <c r="C59" s="3"/>
      <c r="D59" s="3"/>
      <c r="E59" s="16">
        <v>173833</v>
      </c>
      <c r="F59" s="16">
        <v>138200</v>
      </c>
      <c r="G59" s="58">
        <f t="shared" si="10"/>
        <v>-0.20498409392923089</v>
      </c>
      <c r="H59" s="100">
        <f t="shared" si="11"/>
        <v>-35633</v>
      </c>
    </row>
    <row r="60" spans="1:9">
      <c r="A60" s="330"/>
      <c r="B60" s="331" t="s">
        <v>530</v>
      </c>
      <c r="C60" s="331"/>
      <c r="D60" s="331"/>
      <c r="E60" s="16">
        <v>17816</v>
      </c>
      <c r="F60" s="16">
        <v>26209</v>
      </c>
      <c r="G60" s="58">
        <f t="shared" si="10"/>
        <v>0.47109339919173787</v>
      </c>
      <c r="H60" s="100">
        <f t="shared" si="11"/>
        <v>8393</v>
      </c>
    </row>
    <row r="61" spans="1:9">
      <c r="A61" s="330"/>
      <c r="B61" s="331" t="s">
        <v>531</v>
      </c>
      <c r="C61" s="331"/>
      <c r="D61" s="331"/>
      <c r="E61" s="16">
        <v>-13954</v>
      </c>
      <c r="F61" s="16">
        <v>-14293</v>
      </c>
      <c r="G61" s="58">
        <f t="shared" si="10"/>
        <v>2.4294109215995396E-2</v>
      </c>
      <c r="H61" s="100">
        <f t="shared" si="11"/>
        <v>-339</v>
      </c>
      <c r="I61" s="355"/>
    </row>
    <row r="62" spans="1:9">
      <c r="A62" s="330"/>
      <c r="B62" s="331" t="s">
        <v>532</v>
      </c>
      <c r="C62" s="331"/>
      <c r="D62" s="331"/>
      <c r="E62" s="16">
        <v>0</v>
      </c>
      <c r="F62" s="16">
        <v>0</v>
      </c>
      <c r="G62" s="58" t="e">
        <f t="shared" ref="G62:G64" si="12">F62/E62-1</f>
        <v>#DIV/0!</v>
      </c>
      <c r="H62" s="100">
        <f t="shared" ref="H62:H64" si="13">F62-E62</f>
        <v>0</v>
      </c>
      <c r="I62" s="355"/>
    </row>
    <row r="63" spans="1:9">
      <c r="A63" s="330"/>
      <c r="B63" s="3" t="s">
        <v>533</v>
      </c>
      <c r="C63" s="331"/>
      <c r="D63" s="331"/>
      <c r="E63" s="16">
        <v>55681</v>
      </c>
      <c r="F63" s="16">
        <v>95620</v>
      </c>
      <c r="G63" s="58"/>
      <c r="H63" s="100"/>
      <c r="I63" s="355"/>
    </row>
    <row r="64" spans="1:9">
      <c r="A64" s="330"/>
      <c r="B64" s="326" t="s">
        <v>438</v>
      </c>
      <c r="C64" s="331"/>
      <c r="D64" s="331"/>
      <c r="E64" s="16">
        <v>31089</v>
      </c>
      <c r="F64" s="16">
        <v>38822</v>
      </c>
      <c r="G64" s="58">
        <f t="shared" si="12"/>
        <v>0.2487374955772137</v>
      </c>
      <c r="H64" s="100">
        <f t="shared" si="13"/>
        <v>7733</v>
      </c>
      <c r="I64" s="355"/>
    </row>
    <row r="65" spans="1:8">
      <c r="A65" s="323" t="s">
        <v>534</v>
      </c>
      <c r="B65" s="324"/>
      <c r="C65" s="324"/>
      <c r="D65" s="324"/>
      <c r="E65" s="35">
        <f>SUM(E55:E64)</f>
        <v>380137</v>
      </c>
      <c r="F65" s="35">
        <f>SUM(F55:F64)</f>
        <v>404134</v>
      </c>
      <c r="G65" s="82">
        <f>F65/E65-1</f>
        <v>6.3127240968387621E-2</v>
      </c>
      <c r="H65" s="84">
        <f>F65-E65</f>
        <v>23997</v>
      </c>
    </row>
    <row r="66" spans="1:8">
      <c r="A66" s="330"/>
      <c r="B66" s="331"/>
      <c r="C66" s="331"/>
      <c r="D66" s="331"/>
      <c r="E66" s="50"/>
      <c r="F66" s="50"/>
      <c r="G66" s="58"/>
      <c r="H66" s="59"/>
    </row>
    <row r="67" spans="1:8" ht="12.5" thickBot="1">
      <c r="A67" s="334" t="s">
        <v>535</v>
      </c>
      <c r="B67" s="335"/>
      <c r="C67" s="335"/>
      <c r="D67" s="335"/>
      <c r="E67" s="36">
        <f>E65+E54</f>
        <v>651485</v>
      </c>
      <c r="F67" s="36">
        <f>F65+F54</f>
        <v>693470</v>
      </c>
      <c r="G67" s="77">
        <f>F67/E67-1</f>
        <v>6.4445075481400105E-2</v>
      </c>
      <c r="H67" s="78">
        <f>F67-E67</f>
        <v>41985</v>
      </c>
    </row>
    <row r="68" spans="1:8">
      <c r="E68" s="357">
        <v>0</v>
      </c>
      <c r="F68" s="357">
        <f>F67-F26</f>
        <v>0</v>
      </c>
    </row>
    <row r="69" spans="1:8">
      <c r="E69" s="354"/>
      <c r="F69" s="358"/>
      <c r="H69" s="359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Z113"/>
  <sheetViews>
    <sheetView showGridLines="0" zoomScale="90" zoomScaleNormal="90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A2" sqref="A2:B65"/>
    </sheetView>
  </sheetViews>
  <sheetFormatPr defaultColWidth="9.1796875" defaultRowHeight="15.75" customHeight="1" outlineLevelRow="1"/>
  <cols>
    <col min="1" max="1" width="2.81640625" style="3" customWidth="1"/>
    <col min="2" max="2" width="57.81640625" style="3" bestFit="1" customWidth="1"/>
    <col min="3" max="3" width="9.54296875" style="32" hidden="1" customWidth="1"/>
    <col min="4" max="4" width="10.1796875" style="32" hidden="1" customWidth="1"/>
    <col min="5" max="6" width="9.1796875" style="32" hidden="1" customWidth="1"/>
    <col min="7" max="7" width="9.1796875" style="46" hidden="1" customWidth="1"/>
    <col min="8" max="8" width="12.1796875" style="32" hidden="1" customWidth="1"/>
    <col min="9" max="9" width="10.81640625" style="32" hidden="1" customWidth="1"/>
    <col min="10" max="10" width="11.1796875" style="32" hidden="1" customWidth="1"/>
    <col min="11" max="11" width="13.81640625" style="46" customWidth="1"/>
    <col min="12" max="12" width="13.81640625" style="32" customWidth="1"/>
    <col min="13" max="13" width="10.81640625" style="32" customWidth="1"/>
    <col min="14" max="14" width="11.1796875" style="32" customWidth="1"/>
    <col min="15" max="15" width="13.81640625" style="46" hidden="1" customWidth="1"/>
    <col min="16" max="16" width="13.81640625" style="32" hidden="1" customWidth="1"/>
    <col min="17" max="17" width="10.81640625" style="32" hidden="1" customWidth="1"/>
    <col min="18" max="18" width="11.1796875" style="32" hidden="1" customWidth="1"/>
    <col min="19" max="19" width="10.453125" style="11" customWidth="1"/>
    <col min="20" max="20" width="10.54296875" style="32" customWidth="1"/>
    <col min="21" max="21" width="11.1796875" style="68" customWidth="1"/>
    <col min="22" max="22" width="11" style="68" customWidth="1"/>
    <col min="23" max="23" width="13.1796875" style="11" customWidth="1"/>
    <col min="24" max="24" width="6.1796875" style="11" bestFit="1" customWidth="1"/>
    <col min="25" max="16384" width="9.1796875" style="11"/>
  </cols>
  <sheetData>
    <row r="1" spans="1:24" ht="90.75" customHeight="1" thickBot="1"/>
    <row r="2" spans="1:24" ht="15.75" customHeight="1" thickBot="1">
      <c r="A2" s="327" t="s">
        <v>536</v>
      </c>
      <c r="B2" s="328"/>
      <c r="C2" s="305" t="s">
        <v>439</v>
      </c>
      <c r="D2" s="305" t="s">
        <v>443</v>
      </c>
      <c r="E2" s="305" t="s">
        <v>0</v>
      </c>
      <c r="F2" s="306" t="s">
        <v>1</v>
      </c>
      <c r="G2" s="305" t="s">
        <v>440</v>
      </c>
      <c r="H2" s="305" t="s">
        <v>444</v>
      </c>
      <c r="I2" s="305" t="s">
        <v>0</v>
      </c>
      <c r="J2" s="306" t="s">
        <v>1</v>
      </c>
      <c r="K2" s="305" t="s">
        <v>441</v>
      </c>
      <c r="L2" s="305" t="s">
        <v>445</v>
      </c>
      <c r="M2" s="305" t="s">
        <v>0</v>
      </c>
      <c r="N2" s="306" t="s">
        <v>1</v>
      </c>
      <c r="O2" s="305" t="s">
        <v>442</v>
      </c>
      <c r="P2" s="305" t="s">
        <v>446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4" ht="15.75" customHeight="1">
      <c r="A3" s="329" t="s">
        <v>537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4" s="394" customFormat="1" ht="15.75" customHeight="1" outlineLevel="1">
      <c r="A4" s="330"/>
      <c r="B4" s="331" t="s">
        <v>464</v>
      </c>
      <c r="C4" s="389">
        <v>3432</v>
      </c>
      <c r="D4" s="390">
        <v>9400</v>
      </c>
      <c r="E4" s="391">
        <f>D4/C4-1</f>
        <v>1.7389277389277389</v>
      </c>
      <c r="F4" s="392">
        <f>D4-C4</f>
        <v>5968</v>
      </c>
      <c r="G4" s="393">
        <v>17178</v>
      </c>
      <c r="H4" s="393">
        <v>25465</v>
      </c>
      <c r="I4" s="391">
        <v>0.28345278412223363</v>
      </c>
      <c r="J4" s="392">
        <v>3599</v>
      </c>
      <c r="K4" s="393">
        <v>15261</v>
      </c>
      <c r="L4" s="393">
        <f t="shared" ref="L4:L35" si="0">T4-SUM(D4,H4)</f>
        <v>14707</v>
      </c>
      <c r="M4" s="391">
        <f>L4/K4-1</f>
        <v>-3.6301684031190606E-2</v>
      </c>
      <c r="N4" s="392">
        <f>L4-K4</f>
        <v>-554</v>
      </c>
      <c r="O4" s="393">
        <v>23287</v>
      </c>
      <c r="P4" s="393">
        <f>T4-D4-H4-L4</f>
        <v>0</v>
      </c>
      <c r="Q4" s="391">
        <f>P4/O4-1</f>
        <v>-1</v>
      </c>
      <c r="R4" s="392">
        <f>P4-O4</f>
        <v>-23287</v>
      </c>
      <c r="S4" s="393">
        <f>C4+G4+K4</f>
        <v>35871</v>
      </c>
      <c r="T4" s="393">
        <v>49572</v>
      </c>
      <c r="U4" s="391">
        <f>IFERROR(T4/S4-1,"-")</f>
        <v>0.38195199464748675</v>
      </c>
      <c r="V4" s="392">
        <f>T4-S4</f>
        <v>13701</v>
      </c>
      <c r="X4" s="395"/>
    </row>
    <row r="5" spans="1:24" ht="15.75" customHeight="1">
      <c r="A5" s="330" t="s">
        <v>538</v>
      </c>
      <c r="B5" s="331"/>
      <c r="C5" s="13"/>
      <c r="D5" s="28"/>
      <c r="E5" s="58"/>
      <c r="F5" s="97"/>
      <c r="G5" s="96">
        <v>0</v>
      </c>
      <c r="H5" s="96">
        <v>0</v>
      </c>
      <c r="I5" s="58"/>
      <c r="J5" s="97"/>
      <c r="K5" s="96">
        <v>0</v>
      </c>
      <c r="L5" s="96">
        <f t="shared" si="0"/>
        <v>0</v>
      </c>
      <c r="M5" s="58"/>
      <c r="N5" s="97"/>
      <c r="O5" s="96"/>
      <c r="P5" s="96"/>
      <c r="Q5" s="58"/>
      <c r="R5" s="97"/>
      <c r="S5" s="96"/>
      <c r="T5" s="96"/>
      <c r="U5" s="58" t="str">
        <f t="shared" ref="U5:U23" si="1">IFERROR(T5/S5-1,"-")</f>
        <v>-</v>
      </c>
      <c r="V5" s="97">
        <f t="shared" ref="V5:V23" si="2">T5-S5</f>
        <v>0</v>
      </c>
      <c r="X5" s="345"/>
    </row>
    <row r="6" spans="1:24" ht="15.75" customHeight="1" outlineLevel="1">
      <c r="A6" s="330"/>
      <c r="B6" s="331" t="s">
        <v>539</v>
      </c>
      <c r="C6" s="96">
        <v>2457</v>
      </c>
      <c r="D6" s="101">
        <v>2437</v>
      </c>
      <c r="E6" s="58">
        <f>D6/C6-1</f>
        <v>-8.1400081400081481E-3</v>
      </c>
      <c r="F6" s="97">
        <f>D6-C6</f>
        <v>-20</v>
      </c>
      <c r="G6" s="96">
        <v>2328</v>
      </c>
      <c r="H6" s="96">
        <v>2513</v>
      </c>
      <c r="I6" s="58">
        <v>0.29870751555768305</v>
      </c>
      <c r="J6" s="97">
        <v>624</v>
      </c>
      <c r="K6" s="96">
        <v>2418</v>
      </c>
      <c r="L6" s="96">
        <f t="shared" si="0"/>
        <v>2972</v>
      </c>
      <c r="M6" s="58">
        <f t="shared" ref="M6:M22" si="3">L6/K6-1</f>
        <v>0.22911497105045497</v>
      </c>
      <c r="N6" s="97">
        <f t="shared" ref="N6:N22" si="4">L6-K6</f>
        <v>554</v>
      </c>
      <c r="O6" s="96">
        <v>1763</v>
      </c>
      <c r="P6" s="96">
        <f t="shared" ref="P6:P22" si="5">T6-D6-H6-L6</f>
        <v>0</v>
      </c>
      <c r="Q6" s="58">
        <f t="shared" ref="Q6:Q22" si="6">P6/O6-1</f>
        <v>-1</v>
      </c>
      <c r="R6" s="97">
        <f t="shared" ref="R6:R22" si="7">P6-O6</f>
        <v>-1763</v>
      </c>
      <c r="S6" s="96">
        <f t="shared" ref="S6:S35" si="8">C6+G6+K6</f>
        <v>7203</v>
      </c>
      <c r="T6" s="96">
        <v>7922</v>
      </c>
      <c r="U6" s="58">
        <f t="shared" si="1"/>
        <v>9.9819519644592569E-2</v>
      </c>
      <c r="V6" s="97">
        <f t="shared" si="2"/>
        <v>719</v>
      </c>
      <c r="X6" s="345"/>
    </row>
    <row r="7" spans="1:24" ht="15.75" customHeight="1" outlineLevel="1">
      <c r="A7" s="330"/>
      <c r="B7" s="331" t="s">
        <v>540</v>
      </c>
      <c r="C7" s="96">
        <v>0</v>
      </c>
      <c r="D7" s="101">
        <v>0</v>
      </c>
      <c r="E7" s="58"/>
      <c r="F7" s="97"/>
      <c r="G7" s="96">
        <v>0</v>
      </c>
      <c r="H7" s="96">
        <v>0</v>
      </c>
      <c r="I7" s="58"/>
      <c r="J7" s="97"/>
      <c r="K7" s="96">
        <v>0</v>
      </c>
      <c r="L7" s="96">
        <f t="shared" si="0"/>
        <v>0</v>
      </c>
      <c r="M7" s="58"/>
      <c r="N7" s="97"/>
      <c r="O7" s="96">
        <v>0</v>
      </c>
      <c r="P7" s="96">
        <f t="shared" si="5"/>
        <v>0</v>
      </c>
      <c r="Q7" s="58" t="e">
        <f t="shared" si="6"/>
        <v>#DIV/0!</v>
      </c>
      <c r="R7" s="97">
        <f t="shared" si="7"/>
        <v>0</v>
      </c>
      <c r="S7" s="96">
        <f t="shared" si="8"/>
        <v>0</v>
      </c>
      <c r="T7" s="96">
        <v>0</v>
      </c>
      <c r="U7" s="58" t="str">
        <f t="shared" si="1"/>
        <v>-</v>
      </c>
      <c r="V7" s="97">
        <f t="shared" si="2"/>
        <v>0</v>
      </c>
      <c r="X7" s="345"/>
    </row>
    <row r="8" spans="1:24" ht="15.75" customHeight="1" outlineLevel="1">
      <c r="A8" s="330"/>
      <c r="B8" s="331" t="s">
        <v>541</v>
      </c>
      <c r="C8" s="96">
        <v>547</v>
      </c>
      <c r="D8" s="101">
        <v>-358</v>
      </c>
      <c r="E8" s="58">
        <f t="shared" ref="E8:E20" si="9">D8/C8-1</f>
        <v>-1.6544789762340035</v>
      </c>
      <c r="F8" s="97">
        <f t="shared" ref="F8:F20" si="10">D8-C8</f>
        <v>-905</v>
      </c>
      <c r="G8" s="96">
        <v>416</v>
      </c>
      <c r="H8" s="96">
        <v>296</v>
      </c>
      <c r="I8" s="58">
        <v>-3.0929535232383807</v>
      </c>
      <c r="J8" s="97">
        <v>2063</v>
      </c>
      <c r="K8" s="96">
        <v>1407</v>
      </c>
      <c r="L8" s="96">
        <f t="shared" si="0"/>
        <v>262</v>
      </c>
      <c r="M8" s="58">
        <f t="shared" si="3"/>
        <v>-0.81378820184790335</v>
      </c>
      <c r="N8" s="97">
        <f t="shared" si="4"/>
        <v>-1145</v>
      </c>
      <c r="O8" s="96">
        <v>908</v>
      </c>
      <c r="P8" s="96">
        <f t="shared" si="5"/>
        <v>0</v>
      </c>
      <c r="Q8" s="58">
        <f t="shared" si="6"/>
        <v>-1</v>
      </c>
      <c r="R8" s="97">
        <f t="shared" si="7"/>
        <v>-908</v>
      </c>
      <c r="S8" s="96">
        <f t="shared" si="8"/>
        <v>2370</v>
      </c>
      <c r="T8" s="96">
        <v>200</v>
      </c>
      <c r="U8" s="58">
        <f t="shared" si="1"/>
        <v>-0.91561181434599159</v>
      </c>
      <c r="V8" s="97">
        <f t="shared" si="2"/>
        <v>-2170</v>
      </c>
      <c r="X8" s="345"/>
    </row>
    <row r="9" spans="1:24" ht="15.75" customHeight="1" outlineLevel="1">
      <c r="A9" s="330"/>
      <c r="B9" s="331" t="s">
        <v>542</v>
      </c>
      <c r="C9" s="96">
        <v>-102</v>
      </c>
      <c r="D9" s="101">
        <v>438</v>
      </c>
      <c r="E9" s="58">
        <f t="shared" si="9"/>
        <v>-5.2941176470588234</v>
      </c>
      <c r="F9" s="97">
        <f t="shared" si="10"/>
        <v>540</v>
      </c>
      <c r="G9" s="96">
        <v>410</v>
      </c>
      <c r="H9" s="96">
        <v>-307</v>
      </c>
      <c r="I9" s="58">
        <v>1.9230769230769229</v>
      </c>
      <c r="J9" s="97">
        <v>225</v>
      </c>
      <c r="K9" s="96">
        <v>-1630</v>
      </c>
      <c r="L9" s="96">
        <f t="shared" si="0"/>
        <v>1493</v>
      </c>
      <c r="M9" s="58">
        <f t="shared" si="3"/>
        <v>-1.9159509202453988</v>
      </c>
      <c r="N9" s="97">
        <f t="shared" si="4"/>
        <v>3123</v>
      </c>
      <c r="O9" s="96">
        <v>-1296</v>
      </c>
      <c r="P9" s="96">
        <f t="shared" si="5"/>
        <v>0</v>
      </c>
      <c r="Q9" s="58">
        <f t="shared" si="6"/>
        <v>-1</v>
      </c>
      <c r="R9" s="97">
        <f t="shared" si="7"/>
        <v>1296</v>
      </c>
      <c r="S9" s="96">
        <f t="shared" si="8"/>
        <v>-1322</v>
      </c>
      <c r="T9" s="96">
        <v>1624</v>
      </c>
      <c r="U9" s="58">
        <f t="shared" si="1"/>
        <v>-2.2284417549167927</v>
      </c>
      <c r="V9" s="97">
        <f t="shared" si="2"/>
        <v>2946</v>
      </c>
      <c r="X9" s="345"/>
    </row>
    <row r="10" spans="1:24" ht="15.75" customHeight="1" outlineLevel="1">
      <c r="A10" s="330"/>
      <c r="B10" s="331" t="s">
        <v>543</v>
      </c>
      <c r="C10" s="96">
        <v>0</v>
      </c>
      <c r="D10" s="101">
        <v>0</v>
      </c>
      <c r="E10" s="58"/>
      <c r="F10" s="97"/>
      <c r="G10" s="96">
        <v>0</v>
      </c>
      <c r="H10" s="96">
        <v>0</v>
      </c>
      <c r="I10" s="58"/>
      <c r="J10" s="97"/>
      <c r="K10" s="96">
        <v>0</v>
      </c>
      <c r="L10" s="96">
        <f t="shared" si="0"/>
        <v>0</v>
      </c>
      <c r="M10" s="58"/>
      <c r="N10" s="97">
        <f t="shared" si="4"/>
        <v>0</v>
      </c>
      <c r="O10" s="96">
        <v>0</v>
      </c>
      <c r="P10" s="96">
        <f t="shared" si="5"/>
        <v>0</v>
      </c>
      <c r="Q10" s="58" t="e">
        <f t="shared" si="6"/>
        <v>#DIV/0!</v>
      </c>
      <c r="R10" s="97">
        <f t="shared" si="7"/>
        <v>0</v>
      </c>
      <c r="S10" s="96">
        <f t="shared" si="8"/>
        <v>0</v>
      </c>
      <c r="T10" s="96">
        <v>0</v>
      </c>
      <c r="U10" s="58" t="str">
        <f t="shared" ref="U10" si="11">IFERROR(T10/S10-1,"-")</f>
        <v>-</v>
      </c>
      <c r="V10" s="97">
        <f t="shared" ref="V10" si="12">T10-S10</f>
        <v>0</v>
      </c>
      <c r="X10" s="345"/>
    </row>
    <row r="11" spans="1:24" ht="15.75" customHeight="1" outlineLevel="1">
      <c r="A11" s="330"/>
      <c r="B11" s="331" t="s">
        <v>544</v>
      </c>
      <c r="C11" s="96">
        <v>0</v>
      </c>
      <c r="D11" s="101">
        <v>0</v>
      </c>
      <c r="E11" s="58"/>
      <c r="F11" s="97"/>
      <c r="G11" s="96">
        <v>0</v>
      </c>
      <c r="H11" s="96">
        <v>0</v>
      </c>
      <c r="I11" s="58"/>
      <c r="J11" s="97"/>
      <c r="K11" s="96">
        <v>0</v>
      </c>
      <c r="L11" s="96">
        <f t="shared" si="0"/>
        <v>-1143</v>
      </c>
      <c r="M11" s="58"/>
      <c r="N11" s="97">
        <f t="shared" si="4"/>
        <v>-1143</v>
      </c>
      <c r="O11" s="96">
        <v>0</v>
      </c>
      <c r="P11" s="96">
        <f t="shared" si="5"/>
        <v>0</v>
      </c>
      <c r="Q11" s="58" t="e">
        <f t="shared" si="6"/>
        <v>#DIV/0!</v>
      </c>
      <c r="R11" s="97">
        <f t="shared" si="7"/>
        <v>0</v>
      </c>
      <c r="S11" s="96">
        <f t="shared" si="8"/>
        <v>0</v>
      </c>
      <c r="T11" s="96">
        <v>-1143</v>
      </c>
      <c r="U11" s="58" t="str">
        <f t="shared" si="1"/>
        <v>-</v>
      </c>
      <c r="V11" s="97">
        <f t="shared" si="2"/>
        <v>-1143</v>
      </c>
      <c r="X11" s="345"/>
    </row>
    <row r="12" spans="1:24" ht="15.75" customHeight="1" outlineLevel="1">
      <c r="A12" s="330"/>
      <c r="B12" s="331" t="s">
        <v>545</v>
      </c>
      <c r="C12" s="96">
        <v>0</v>
      </c>
      <c r="D12" s="101">
        <v>0</v>
      </c>
      <c r="E12" s="58"/>
      <c r="F12" s="97"/>
      <c r="G12" s="96">
        <v>0</v>
      </c>
      <c r="H12" s="96">
        <v>0</v>
      </c>
      <c r="I12" s="58"/>
      <c r="J12" s="97"/>
      <c r="K12" s="96">
        <v>-1718</v>
      </c>
      <c r="L12" s="96">
        <f t="shared" si="0"/>
        <v>0</v>
      </c>
      <c r="M12" s="58"/>
      <c r="N12" s="97">
        <f t="shared" si="4"/>
        <v>1718</v>
      </c>
      <c r="O12" s="96">
        <v>0</v>
      </c>
      <c r="P12" s="96">
        <f t="shared" si="5"/>
        <v>0</v>
      </c>
      <c r="Q12" s="58" t="e">
        <f t="shared" si="6"/>
        <v>#DIV/0!</v>
      </c>
      <c r="R12" s="97">
        <f t="shared" si="7"/>
        <v>0</v>
      </c>
      <c r="S12" s="96">
        <f t="shared" si="8"/>
        <v>-1718</v>
      </c>
      <c r="T12" s="96">
        <v>0</v>
      </c>
      <c r="U12" s="58">
        <f t="shared" si="1"/>
        <v>-1</v>
      </c>
      <c r="V12" s="97">
        <f t="shared" si="2"/>
        <v>1718</v>
      </c>
      <c r="X12" s="345"/>
    </row>
    <row r="13" spans="1:24" ht="15.75" customHeight="1" outlineLevel="1">
      <c r="A13" s="330"/>
      <c r="B13" s="331" t="s">
        <v>546</v>
      </c>
      <c r="C13" s="96">
        <v>-1082</v>
      </c>
      <c r="D13" s="311">
        <v>-5579</v>
      </c>
      <c r="E13" s="58">
        <f t="shared" si="9"/>
        <v>4.1561922365988906</v>
      </c>
      <c r="F13" s="97">
        <f t="shared" si="10"/>
        <v>-4497</v>
      </c>
      <c r="G13" s="96">
        <v>357</v>
      </c>
      <c r="H13" s="96">
        <v>-3500</v>
      </c>
      <c r="I13" s="58">
        <v>-13.726114649681529</v>
      </c>
      <c r="J13" s="97">
        <v>2155</v>
      </c>
      <c r="K13" s="96">
        <v>-183</v>
      </c>
      <c r="L13" s="96">
        <f t="shared" si="0"/>
        <v>69</v>
      </c>
      <c r="M13" s="58">
        <f t="shared" si="3"/>
        <v>-1.3770491803278688</v>
      </c>
      <c r="N13" s="97">
        <f t="shared" si="4"/>
        <v>252</v>
      </c>
      <c r="O13" s="96">
        <v>2378</v>
      </c>
      <c r="P13" s="96">
        <f t="shared" si="5"/>
        <v>0</v>
      </c>
      <c r="Q13" s="58">
        <f t="shared" si="6"/>
        <v>-1</v>
      </c>
      <c r="R13" s="97">
        <f t="shared" si="7"/>
        <v>-2378</v>
      </c>
      <c r="S13" s="96">
        <f t="shared" si="8"/>
        <v>-908</v>
      </c>
      <c r="T13" s="96">
        <v>-9010</v>
      </c>
      <c r="U13" s="58">
        <f t="shared" si="1"/>
        <v>8.9229074889867839</v>
      </c>
      <c r="V13" s="97">
        <f t="shared" si="2"/>
        <v>-8102</v>
      </c>
      <c r="X13" s="345"/>
    </row>
    <row r="14" spans="1:24" ht="15.75" customHeight="1" outlineLevel="1">
      <c r="A14" s="330"/>
      <c r="B14" s="331" t="s">
        <v>547</v>
      </c>
      <c r="C14" s="96">
        <v>-44</v>
      </c>
      <c r="D14" s="311">
        <v>1</v>
      </c>
      <c r="E14" s="58">
        <f t="shared" si="9"/>
        <v>-1.0227272727272727</v>
      </c>
      <c r="F14" s="97">
        <f t="shared" si="10"/>
        <v>45</v>
      </c>
      <c r="G14" s="96">
        <v>-1</v>
      </c>
      <c r="H14" s="96">
        <v>-43</v>
      </c>
      <c r="I14" s="58">
        <v>-1.1076923076923078</v>
      </c>
      <c r="J14" s="97">
        <v>-936</v>
      </c>
      <c r="K14" s="96">
        <v>-285</v>
      </c>
      <c r="L14" s="96">
        <f t="shared" si="0"/>
        <v>-319</v>
      </c>
      <c r="M14" s="58">
        <f t="shared" si="3"/>
        <v>0.11929824561403501</v>
      </c>
      <c r="N14" s="97">
        <f t="shared" si="4"/>
        <v>-34</v>
      </c>
      <c r="O14" s="96">
        <v>-67</v>
      </c>
      <c r="P14" s="96">
        <f t="shared" si="5"/>
        <v>0</v>
      </c>
      <c r="Q14" s="58">
        <f t="shared" si="6"/>
        <v>-1</v>
      </c>
      <c r="R14" s="97">
        <f t="shared" si="7"/>
        <v>67</v>
      </c>
      <c r="S14" s="96">
        <f t="shared" si="8"/>
        <v>-330</v>
      </c>
      <c r="T14" s="96">
        <v>-361</v>
      </c>
      <c r="U14" s="58">
        <f t="shared" si="1"/>
        <v>9.3939393939393989E-2</v>
      </c>
      <c r="V14" s="97">
        <f t="shared" si="2"/>
        <v>-31</v>
      </c>
      <c r="X14" s="345"/>
    </row>
    <row r="15" spans="1:24" ht="15.75" customHeight="1" outlineLevel="1">
      <c r="A15" s="330"/>
      <c r="B15" s="331" t="s">
        <v>548</v>
      </c>
      <c r="C15" s="96">
        <v>0</v>
      </c>
      <c r="D15" s="311">
        <v>0</v>
      </c>
      <c r="E15" s="58" t="e">
        <f t="shared" si="9"/>
        <v>#DIV/0!</v>
      </c>
      <c r="F15" s="97">
        <f t="shared" si="10"/>
        <v>0</v>
      </c>
      <c r="G15" s="96">
        <v>0</v>
      </c>
      <c r="H15" s="96">
        <v>0</v>
      </c>
      <c r="I15" s="58">
        <v>0</v>
      </c>
      <c r="J15" s="97">
        <v>0</v>
      </c>
      <c r="K15" s="96">
        <v>0</v>
      </c>
      <c r="L15" s="96">
        <f t="shared" si="0"/>
        <v>0</v>
      </c>
      <c r="M15" s="58" t="e">
        <f t="shared" si="3"/>
        <v>#DIV/0!</v>
      </c>
      <c r="N15" s="97">
        <f t="shared" si="4"/>
        <v>0</v>
      </c>
      <c r="O15" s="96">
        <v>-1</v>
      </c>
      <c r="P15" s="96">
        <f t="shared" si="5"/>
        <v>0</v>
      </c>
      <c r="Q15" s="58">
        <f t="shared" si="6"/>
        <v>-1</v>
      </c>
      <c r="R15" s="97">
        <f t="shared" si="7"/>
        <v>1</v>
      </c>
      <c r="S15" s="96">
        <f t="shared" si="8"/>
        <v>0</v>
      </c>
      <c r="T15" s="96">
        <v>0</v>
      </c>
      <c r="U15" s="58" t="str">
        <f t="shared" si="1"/>
        <v>-</v>
      </c>
      <c r="V15" s="97">
        <f t="shared" si="2"/>
        <v>0</v>
      </c>
      <c r="X15" s="345"/>
    </row>
    <row r="16" spans="1:24" ht="15.75" customHeight="1" outlineLevel="1">
      <c r="A16" s="330"/>
      <c r="B16" s="331" t="s">
        <v>549</v>
      </c>
      <c r="C16" s="96">
        <v>0</v>
      </c>
      <c r="D16" s="311">
        <v>0</v>
      </c>
      <c r="E16" s="58"/>
      <c r="F16" s="97"/>
      <c r="G16" s="96">
        <v>0</v>
      </c>
      <c r="H16" s="96">
        <v>0</v>
      </c>
      <c r="I16" s="58"/>
      <c r="J16" s="97"/>
      <c r="K16" s="96">
        <v>0</v>
      </c>
      <c r="L16" s="96">
        <f t="shared" si="0"/>
        <v>0</v>
      </c>
      <c r="M16" s="58"/>
      <c r="N16" s="97">
        <f t="shared" si="4"/>
        <v>0</v>
      </c>
      <c r="O16" s="96">
        <v>0</v>
      </c>
      <c r="P16" s="96">
        <f t="shared" si="5"/>
        <v>0</v>
      </c>
      <c r="Q16" s="58" t="e">
        <f t="shared" si="6"/>
        <v>#DIV/0!</v>
      </c>
      <c r="R16" s="97">
        <f t="shared" si="7"/>
        <v>0</v>
      </c>
      <c r="S16" s="96">
        <f t="shared" si="8"/>
        <v>0</v>
      </c>
      <c r="T16" s="96">
        <v>0</v>
      </c>
      <c r="U16" s="58" t="str">
        <f t="shared" si="1"/>
        <v>-</v>
      </c>
      <c r="V16" s="97">
        <f t="shared" si="2"/>
        <v>0</v>
      </c>
      <c r="X16" s="345"/>
    </row>
    <row r="17" spans="1:26" ht="15.75" customHeight="1" outlineLevel="1">
      <c r="A17" s="330"/>
      <c r="B17" s="331" t="s">
        <v>550</v>
      </c>
      <c r="C17" s="96">
        <v>4950</v>
      </c>
      <c r="D17" s="311">
        <v>3483</v>
      </c>
      <c r="E17" s="58">
        <f t="shared" si="9"/>
        <v>-0.29636363636363638</v>
      </c>
      <c r="F17" s="97">
        <f t="shared" si="10"/>
        <v>-1467</v>
      </c>
      <c r="G17" s="96">
        <v>4711</v>
      </c>
      <c r="H17" s="96">
        <v>2826</v>
      </c>
      <c r="I17" s="58">
        <v>0.92289988492520147</v>
      </c>
      <c r="J17" s="97">
        <v>2406</v>
      </c>
      <c r="K17" s="96">
        <v>4284</v>
      </c>
      <c r="L17" s="96">
        <f t="shared" si="0"/>
        <v>3554</v>
      </c>
      <c r="M17" s="58">
        <f t="shared" si="3"/>
        <v>-0.17040149393090565</v>
      </c>
      <c r="N17" s="97">
        <f t="shared" si="4"/>
        <v>-730</v>
      </c>
      <c r="O17" s="96">
        <v>5138</v>
      </c>
      <c r="P17" s="96">
        <f t="shared" si="5"/>
        <v>0</v>
      </c>
      <c r="Q17" s="58">
        <f t="shared" si="6"/>
        <v>-1</v>
      </c>
      <c r="R17" s="97">
        <f t="shared" si="7"/>
        <v>-5138</v>
      </c>
      <c r="S17" s="96">
        <f t="shared" si="8"/>
        <v>13945</v>
      </c>
      <c r="T17" s="96">
        <v>9863</v>
      </c>
      <c r="U17" s="58">
        <f t="shared" si="1"/>
        <v>-0.29272140552169235</v>
      </c>
      <c r="V17" s="97">
        <f t="shared" si="2"/>
        <v>-4082</v>
      </c>
      <c r="X17" s="345"/>
    </row>
    <row r="18" spans="1:26" ht="15.75" customHeight="1" outlineLevel="1">
      <c r="A18" s="332"/>
      <c r="B18" s="331" t="s">
        <v>551</v>
      </c>
      <c r="C18" s="96">
        <v>-151</v>
      </c>
      <c r="D18" s="311">
        <v>113</v>
      </c>
      <c r="E18" s="58">
        <f t="shared" si="9"/>
        <v>-1.7483443708609272</v>
      </c>
      <c r="F18" s="97">
        <f t="shared" si="10"/>
        <v>264</v>
      </c>
      <c r="G18" s="96">
        <v>-130</v>
      </c>
      <c r="H18" s="96">
        <v>102</v>
      </c>
      <c r="I18" s="58">
        <v>-1.6530612244897958</v>
      </c>
      <c r="J18" s="97">
        <v>-243</v>
      </c>
      <c r="K18" s="96">
        <v>569</v>
      </c>
      <c r="L18" s="96">
        <f t="shared" si="0"/>
        <v>286</v>
      </c>
      <c r="M18" s="58">
        <f t="shared" si="3"/>
        <v>-0.49736379613356763</v>
      </c>
      <c r="N18" s="97">
        <f t="shared" si="4"/>
        <v>-283</v>
      </c>
      <c r="O18" s="96">
        <v>-125</v>
      </c>
      <c r="P18" s="96">
        <f t="shared" si="5"/>
        <v>0</v>
      </c>
      <c r="Q18" s="58">
        <f t="shared" si="6"/>
        <v>-1</v>
      </c>
      <c r="R18" s="97">
        <f t="shared" si="7"/>
        <v>125</v>
      </c>
      <c r="S18" s="96">
        <f t="shared" si="8"/>
        <v>288</v>
      </c>
      <c r="T18" s="96">
        <v>501</v>
      </c>
      <c r="U18" s="58">
        <f t="shared" si="1"/>
        <v>0.73958333333333326</v>
      </c>
      <c r="V18" s="97">
        <f t="shared" si="2"/>
        <v>213</v>
      </c>
      <c r="X18" s="345"/>
    </row>
    <row r="19" spans="1:26" ht="15.75" customHeight="1" outlineLevel="1">
      <c r="A19" s="332"/>
      <c r="B19" s="331" t="s">
        <v>495</v>
      </c>
      <c r="C19" s="96">
        <v>704</v>
      </c>
      <c r="D19" s="311">
        <v>-1121</v>
      </c>
      <c r="E19" s="58">
        <f>D19/C19-1</f>
        <v>-2.5923295454545454</v>
      </c>
      <c r="F19" s="97">
        <f t="shared" si="10"/>
        <v>-1825</v>
      </c>
      <c r="G19" s="96">
        <v>452</v>
      </c>
      <c r="H19" s="96">
        <v>-3232</v>
      </c>
      <c r="I19" s="58"/>
      <c r="J19" s="97"/>
      <c r="K19" s="96">
        <v>-2236</v>
      </c>
      <c r="L19" s="96">
        <f t="shared" si="0"/>
        <v>3665</v>
      </c>
      <c r="M19" s="58">
        <f t="shared" si="3"/>
        <v>-2.6390876565295169</v>
      </c>
      <c r="N19" s="97">
        <f t="shared" si="4"/>
        <v>5901</v>
      </c>
      <c r="O19" s="96">
        <v>885</v>
      </c>
      <c r="P19" s="96">
        <f t="shared" si="5"/>
        <v>0</v>
      </c>
      <c r="Q19" s="58">
        <f t="shared" si="6"/>
        <v>-1</v>
      </c>
      <c r="R19" s="97">
        <f t="shared" si="7"/>
        <v>-885</v>
      </c>
      <c r="S19" s="96">
        <f t="shared" si="8"/>
        <v>-1080</v>
      </c>
      <c r="T19" s="96">
        <v>-688</v>
      </c>
      <c r="U19" s="58">
        <f t="shared" si="1"/>
        <v>-0.36296296296296293</v>
      </c>
      <c r="V19" s="97">
        <f t="shared" si="2"/>
        <v>392</v>
      </c>
      <c r="X19" s="345"/>
    </row>
    <row r="20" spans="1:26" ht="15.75" customHeight="1" outlineLevel="1">
      <c r="A20" s="332"/>
      <c r="B20" s="333" t="s">
        <v>552</v>
      </c>
      <c r="C20" s="96">
        <v>449</v>
      </c>
      <c r="D20" s="311">
        <v>996</v>
      </c>
      <c r="E20" s="58">
        <f t="shared" si="9"/>
        <v>1.2182628062360803</v>
      </c>
      <c r="F20" s="97">
        <f t="shared" si="10"/>
        <v>547</v>
      </c>
      <c r="G20" s="96">
        <v>1044</v>
      </c>
      <c r="H20" s="96">
        <v>859</v>
      </c>
      <c r="I20" s="58">
        <v>-0.34502262443438914</v>
      </c>
      <c r="J20" s="97">
        <v>-305</v>
      </c>
      <c r="K20" s="96">
        <v>2028</v>
      </c>
      <c r="L20" s="96">
        <f t="shared" si="0"/>
        <v>699</v>
      </c>
      <c r="M20" s="58">
        <f t="shared" si="3"/>
        <v>-0.65532544378698221</v>
      </c>
      <c r="N20" s="97">
        <f t="shared" si="4"/>
        <v>-1329</v>
      </c>
      <c r="O20" s="96">
        <v>644</v>
      </c>
      <c r="P20" s="96">
        <f t="shared" si="5"/>
        <v>0</v>
      </c>
      <c r="Q20" s="58">
        <f t="shared" si="6"/>
        <v>-1</v>
      </c>
      <c r="R20" s="97">
        <f t="shared" si="7"/>
        <v>-644</v>
      </c>
      <c r="S20" s="96">
        <f t="shared" si="8"/>
        <v>3521</v>
      </c>
      <c r="T20" s="96">
        <v>2554</v>
      </c>
      <c r="U20" s="58">
        <f t="shared" si="1"/>
        <v>-0.27463788696393066</v>
      </c>
      <c r="V20" s="97">
        <f t="shared" si="2"/>
        <v>-967</v>
      </c>
      <c r="X20" s="345"/>
    </row>
    <row r="21" spans="1:26" ht="15.75" customHeight="1" outlineLevel="1">
      <c r="A21" s="332"/>
      <c r="B21" s="333" t="s">
        <v>553</v>
      </c>
      <c r="C21" s="96">
        <v>0</v>
      </c>
      <c r="D21" s="311">
        <v>0</v>
      </c>
      <c r="E21" s="70"/>
      <c r="F21" s="97"/>
      <c r="G21" s="96">
        <v>0</v>
      </c>
      <c r="H21" s="96">
        <v>0</v>
      </c>
      <c r="I21" s="70"/>
      <c r="J21" s="97"/>
      <c r="K21" s="96">
        <v>0</v>
      </c>
      <c r="L21" s="96">
        <f t="shared" si="0"/>
        <v>0</v>
      </c>
      <c r="M21" s="70"/>
      <c r="N21" s="97">
        <f t="shared" si="4"/>
        <v>0</v>
      </c>
      <c r="O21" s="96">
        <v>0</v>
      </c>
      <c r="P21" s="96">
        <f t="shared" si="5"/>
        <v>0</v>
      </c>
      <c r="Q21" s="70" t="e">
        <f t="shared" si="6"/>
        <v>#DIV/0!</v>
      </c>
      <c r="R21" s="97">
        <f t="shared" si="7"/>
        <v>0</v>
      </c>
      <c r="S21" s="96">
        <f t="shared" si="8"/>
        <v>0</v>
      </c>
      <c r="T21" s="96">
        <v>0</v>
      </c>
      <c r="U21" s="70" t="str">
        <f t="shared" si="1"/>
        <v>-</v>
      </c>
      <c r="V21" s="97">
        <f t="shared" si="2"/>
        <v>0</v>
      </c>
      <c r="X21" s="345"/>
    </row>
    <row r="22" spans="1:26" ht="15.75" customHeight="1" outlineLevel="1">
      <c r="A22" s="332"/>
      <c r="B22" s="333" t="s">
        <v>554</v>
      </c>
      <c r="C22" s="96">
        <v>252</v>
      </c>
      <c r="D22" s="311">
        <v>-82</v>
      </c>
      <c r="E22" s="70">
        <f>D22/C22-1</f>
        <v>-1.3253968253968254</v>
      </c>
      <c r="F22" s="97">
        <f>D22-C22</f>
        <v>-334</v>
      </c>
      <c r="G22" s="96">
        <v>-11</v>
      </c>
      <c r="H22" s="96">
        <v>-380</v>
      </c>
      <c r="I22" s="70">
        <v>-1.1777777777777778</v>
      </c>
      <c r="J22" s="97">
        <v>159</v>
      </c>
      <c r="K22" s="96">
        <v>-41</v>
      </c>
      <c r="L22" s="96">
        <f t="shared" si="0"/>
        <v>65</v>
      </c>
      <c r="M22" s="70">
        <f t="shared" si="3"/>
        <v>-2.5853658536585367</v>
      </c>
      <c r="N22" s="97">
        <f t="shared" si="4"/>
        <v>106</v>
      </c>
      <c r="O22" s="96">
        <v>-342</v>
      </c>
      <c r="P22" s="96">
        <f t="shared" si="5"/>
        <v>0</v>
      </c>
      <c r="Q22" s="70">
        <f t="shared" si="6"/>
        <v>-1</v>
      </c>
      <c r="R22" s="97">
        <f t="shared" si="7"/>
        <v>342</v>
      </c>
      <c r="S22" s="96">
        <f t="shared" si="8"/>
        <v>200</v>
      </c>
      <c r="T22" s="96">
        <v>-397</v>
      </c>
      <c r="U22" s="70">
        <f t="shared" si="1"/>
        <v>-2.9850000000000003</v>
      </c>
      <c r="V22" s="97">
        <f t="shared" si="2"/>
        <v>-597</v>
      </c>
      <c r="W22" s="345"/>
      <c r="X22" s="345"/>
      <c r="Y22" s="345"/>
    </row>
    <row r="23" spans="1:26" ht="15.75" customHeight="1" outlineLevel="1">
      <c r="A23" s="336"/>
      <c r="B23" s="337"/>
      <c r="C23" s="18">
        <v>11412</v>
      </c>
      <c r="D23" s="18">
        <v>9728</v>
      </c>
      <c r="E23" s="72">
        <f>D23/C23-1</f>
        <v>-0.14756396775324221</v>
      </c>
      <c r="F23" s="98">
        <f>D23-C23</f>
        <v>-1684</v>
      </c>
      <c r="G23" s="18">
        <v>26754</v>
      </c>
      <c r="H23" s="18">
        <v>24599</v>
      </c>
      <c r="I23" s="72">
        <v>-2.5697288862882806E-2</v>
      </c>
      <c r="J23" s="98">
        <v>-527</v>
      </c>
      <c r="K23" s="18">
        <f>SUM(K4:K22)</f>
        <v>19874</v>
      </c>
      <c r="L23" s="18">
        <f t="shared" si="0"/>
        <v>26310</v>
      </c>
      <c r="M23" s="72">
        <v>-2.5697288862882806E-2</v>
      </c>
      <c r="N23" s="98">
        <v>-527</v>
      </c>
      <c r="O23" s="18">
        <v>33172</v>
      </c>
      <c r="P23" s="18">
        <f t="shared" ref="P23" si="13">SUM(P4:P22)</f>
        <v>0</v>
      </c>
      <c r="Q23" s="72">
        <v>-2.5697288862882806E-2</v>
      </c>
      <c r="R23" s="98">
        <v>-527</v>
      </c>
      <c r="S23" s="18">
        <f t="shared" si="8"/>
        <v>58040</v>
      </c>
      <c r="T23" s="18">
        <f>SUM(T4:T22)</f>
        <v>60637</v>
      </c>
      <c r="U23" s="72">
        <f t="shared" si="1"/>
        <v>4.4745003445899378E-2</v>
      </c>
      <c r="V23" s="98">
        <f t="shared" si="2"/>
        <v>2597</v>
      </c>
      <c r="X23" s="345"/>
    </row>
    <row r="24" spans="1:26" ht="20.25" customHeight="1">
      <c r="A24" s="329" t="s">
        <v>555</v>
      </c>
      <c r="C24" s="15"/>
      <c r="D24" s="24"/>
      <c r="E24" s="58"/>
      <c r="F24" s="59"/>
      <c r="G24" s="46">
        <v>0</v>
      </c>
      <c r="H24" s="46">
        <v>0</v>
      </c>
      <c r="I24" s="58"/>
      <c r="J24" s="59"/>
      <c r="K24" s="46">
        <v>0</v>
      </c>
      <c r="L24" s="46">
        <f t="shared" si="0"/>
        <v>0</v>
      </c>
      <c r="M24" s="58"/>
      <c r="N24" s="59"/>
      <c r="P24" s="46"/>
      <c r="Q24" s="58"/>
      <c r="R24" s="59"/>
      <c r="S24" s="24">
        <f t="shared" si="8"/>
        <v>0</v>
      </c>
      <c r="T24" s="24"/>
      <c r="U24" s="58"/>
      <c r="V24" s="59"/>
      <c r="X24" s="345"/>
    </row>
    <row r="25" spans="1:26" ht="15.75" customHeight="1" outlineLevel="1">
      <c r="A25" s="329"/>
      <c r="B25" s="331" t="s">
        <v>556</v>
      </c>
      <c r="C25" s="15"/>
      <c r="D25" s="15"/>
      <c r="E25" s="58"/>
      <c r="F25" s="59"/>
      <c r="G25" s="96">
        <v>0</v>
      </c>
      <c r="H25" s="96">
        <v>0</v>
      </c>
      <c r="I25" s="58"/>
      <c r="J25" s="59"/>
      <c r="K25" s="96">
        <v>0</v>
      </c>
      <c r="L25" s="96">
        <f t="shared" si="0"/>
        <v>0</v>
      </c>
      <c r="M25" s="58"/>
      <c r="N25" s="59">
        <f t="shared" ref="N25:N35" si="14">L25-K25</f>
        <v>0</v>
      </c>
      <c r="O25" s="96">
        <v>0</v>
      </c>
      <c r="P25" s="96">
        <f t="shared" ref="P25:P34" si="15">T25-D25-H25-L25</f>
        <v>0</v>
      </c>
      <c r="Q25" s="58" t="e">
        <f t="shared" ref="Q25:Q35" si="16">P25/O25-1</f>
        <v>#DIV/0!</v>
      </c>
      <c r="R25" s="59">
        <f t="shared" ref="R25:R35" si="17">P25-O25</f>
        <v>0</v>
      </c>
      <c r="S25" s="15">
        <f t="shared" si="8"/>
        <v>0</v>
      </c>
      <c r="T25" s="15"/>
      <c r="U25" s="58"/>
      <c r="V25" s="59"/>
      <c r="W25" s="104"/>
      <c r="X25" s="345"/>
    </row>
    <row r="26" spans="1:26" ht="15.75" customHeight="1" outlineLevel="1">
      <c r="A26" s="330"/>
      <c r="B26" s="331" t="s">
        <v>557</v>
      </c>
      <c r="C26" s="96">
        <v>19550</v>
      </c>
      <c r="D26" s="96">
        <v>15538</v>
      </c>
      <c r="E26" s="58">
        <f t="shared" ref="E26:E32" si="18">D26/C26-1</f>
        <v>-0.2052173913043478</v>
      </c>
      <c r="F26" s="97">
        <f t="shared" ref="F26:F32" si="19">D26-C26</f>
        <v>-4012</v>
      </c>
      <c r="G26" s="96">
        <v>-6369</v>
      </c>
      <c r="H26" s="96">
        <v>-17592</v>
      </c>
      <c r="I26" s="58">
        <v>0.48881477263483286</v>
      </c>
      <c r="J26" s="97">
        <v>-6009</v>
      </c>
      <c r="K26" s="96">
        <v>16044</v>
      </c>
      <c r="L26" s="96">
        <f t="shared" si="0"/>
        <v>2106</v>
      </c>
      <c r="M26" s="58">
        <f t="shared" ref="M26:M35" si="20">L26/K26-1</f>
        <v>-0.86873597606581898</v>
      </c>
      <c r="N26" s="97">
        <f t="shared" si="14"/>
        <v>-13938</v>
      </c>
      <c r="O26" s="96">
        <v>-18254</v>
      </c>
      <c r="P26" s="96">
        <f t="shared" si="15"/>
        <v>0</v>
      </c>
      <c r="Q26" s="58">
        <f t="shared" si="16"/>
        <v>-1</v>
      </c>
      <c r="R26" s="97">
        <f t="shared" si="17"/>
        <v>18254</v>
      </c>
      <c r="S26" s="96">
        <f t="shared" si="8"/>
        <v>29225</v>
      </c>
      <c r="T26" s="101">
        <v>52</v>
      </c>
      <c r="U26" s="58">
        <f t="shared" ref="U26:U36" si="21">IFERROR(T26/S26-1,"-")</f>
        <v>-0.99822070145423436</v>
      </c>
      <c r="V26" s="97">
        <f t="shared" ref="V26:V36" si="22">T26-S26</f>
        <v>-29173</v>
      </c>
      <c r="W26" s="298"/>
      <c r="X26" s="345"/>
      <c r="Y26"/>
      <c r="Z26" s="345"/>
    </row>
    <row r="27" spans="1:26" ht="15.75" customHeight="1" outlineLevel="1">
      <c r="A27" s="330"/>
      <c r="B27" s="331" t="s">
        <v>558</v>
      </c>
      <c r="C27" s="96">
        <v>-3883</v>
      </c>
      <c r="D27" s="96">
        <v>-3423</v>
      </c>
      <c r="E27" s="58">
        <f t="shared" si="18"/>
        <v>-0.11846510430079837</v>
      </c>
      <c r="F27" s="97">
        <f t="shared" si="19"/>
        <v>460</v>
      </c>
      <c r="G27" s="96">
        <v>3092</v>
      </c>
      <c r="H27" s="96">
        <v>8028</v>
      </c>
      <c r="I27" s="58">
        <v>-4.2003693444136658</v>
      </c>
      <c r="J27" s="97">
        <v>-13647</v>
      </c>
      <c r="K27" s="96">
        <v>-12038</v>
      </c>
      <c r="L27" s="96">
        <f t="shared" si="0"/>
        <v>-33356</v>
      </c>
      <c r="M27" s="58">
        <f t="shared" si="20"/>
        <v>1.7708921747798638</v>
      </c>
      <c r="N27" s="97">
        <f t="shared" si="14"/>
        <v>-21318</v>
      </c>
      <c r="O27" s="96">
        <v>17185</v>
      </c>
      <c r="P27" s="96">
        <f t="shared" si="15"/>
        <v>0</v>
      </c>
      <c r="Q27" s="58">
        <f t="shared" si="16"/>
        <v>-1</v>
      </c>
      <c r="R27" s="97">
        <f t="shared" si="17"/>
        <v>-17185</v>
      </c>
      <c r="S27" s="96">
        <f t="shared" si="8"/>
        <v>-12829</v>
      </c>
      <c r="T27" s="101">
        <v>-28751</v>
      </c>
      <c r="U27" s="58">
        <f t="shared" si="21"/>
        <v>1.2410943955101721</v>
      </c>
      <c r="V27" s="97">
        <f t="shared" si="22"/>
        <v>-15922</v>
      </c>
      <c r="W27"/>
      <c r="X27" s="345"/>
      <c r="Y27"/>
    </row>
    <row r="28" spans="1:26" ht="15.75" customHeight="1" outlineLevel="1">
      <c r="A28" s="330"/>
      <c r="B28" s="331" t="s">
        <v>559</v>
      </c>
      <c r="C28" s="96">
        <v>8281</v>
      </c>
      <c r="D28" s="96">
        <v>2599</v>
      </c>
      <c r="E28" s="58">
        <f t="shared" si="18"/>
        <v>-0.68614901581934551</v>
      </c>
      <c r="F28" s="97">
        <f t="shared" si="19"/>
        <v>-5682</v>
      </c>
      <c r="G28" s="398">
        <v>-716</v>
      </c>
      <c r="H28" s="96">
        <v>684</v>
      </c>
      <c r="I28" s="58">
        <v>6.9335394126738796</v>
      </c>
      <c r="J28" s="97">
        <v>8972</v>
      </c>
      <c r="K28" s="96">
        <v>-6131</v>
      </c>
      <c r="L28" s="96">
        <f t="shared" si="0"/>
        <v>1918</v>
      </c>
      <c r="M28" s="58">
        <f t="shared" si="20"/>
        <v>-1.3128364051541348</v>
      </c>
      <c r="N28" s="97">
        <f t="shared" si="14"/>
        <v>8049</v>
      </c>
      <c r="O28" s="96">
        <v>15214</v>
      </c>
      <c r="P28" s="96">
        <f t="shared" si="15"/>
        <v>0</v>
      </c>
      <c r="Q28" s="58">
        <f t="shared" si="16"/>
        <v>-1</v>
      </c>
      <c r="R28" s="97">
        <f t="shared" si="17"/>
        <v>-15214</v>
      </c>
      <c r="S28" s="96">
        <f t="shared" si="8"/>
        <v>1434</v>
      </c>
      <c r="T28" s="101">
        <v>5201</v>
      </c>
      <c r="U28" s="58">
        <f t="shared" si="21"/>
        <v>2.6269177126917711</v>
      </c>
      <c r="V28" s="97">
        <f t="shared" si="22"/>
        <v>3767</v>
      </c>
      <c r="W28"/>
      <c r="X28" s="345"/>
      <c r="Y28"/>
    </row>
    <row r="29" spans="1:26" ht="15.75" customHeight="1" outlineLevel="1">
      <c r="A29" s="330"/>
      <c r="B29" s="331" t="s">
        <v>560</v>
      </c>
      <c r="C29" s="96">
        <v>-6171</v>
      </c>
      <c r="D29" s="96">
        <v>-1608</v>
      </c>
      <c r="E29" s="58">
        <f t="shared" si="18"/>
        <v>-0.73942634905201743</v>
      </c>
      <c r="F29" s="97">
        <f t="shared" si="19"/>
        <v>4563</v>
      </c>
      <c r="G29" s="96">
        <v>-2988</v>
      </c>
      <c r="H29" s="96">
        <v>-1035</v>
      </c>
      <c r="I29" s="58">
        <v>8.1234567901234573</v>
      </c>
      <c r="J29" s="97">
        <v>1316</v>
      </c>
      <c r="K29" s="96">
        <v>757</v>
      </c>
      <c r="L29" s="96">
        <f t="shared" si="0"/>
        <v>-175</v>
      </c>
      <c r="M29" s="58">
        <f t="shared" si="20"/>
        <v>-1.2311756935270806</v>
      </c>
      <c r="N29" s="97">
        <f t="shared" si="14"/>
        <v>-932</v>
      </c>
      <c r="O29" s="96">
        <v>-1250</v>
      </c>
      <c r="P29" s="96">
        <f t="shared" si="15"/>
        <v>0</v>
      </c>
      <c r="Q29" s="58">
        <f t="shared" si="16"/>
        <v>-1</v>
      </c>
      <c r="R29" s="97">
        <f t="shared" si="17"/>
        <v>1250</v>
      </c>
      <c r="S29" s="96">
        <f t="shared" si="8"/>
        <v>-8402</v>
      </c>
      <c r="T29" s="101">
        <v>-2818</v>
      </c>
      <c r="U29" s="58">
        <f t="shared" si="21"/>
        <v>-0.66460366579385854</v>
      </c>
      <c r="V29" s="97">
        <f t="shared" si="22"/>
        <v>5584</v>
      </c>
      <c r="W29"/>
      <c r="X29" s="345"/>
      <c r="Y29"/>
    </row>
    <row r="30" spans="1:26" ht="15.75" customHeight="1" outlineLevel="1">
      <c r="A30" s="330"/>
      <c r="B30" s="331" t="s">
        <v>561</v>
      </c>
      <c r="C30" s="96">
        <v>981</v>
      </c>
      <c r="D30" s="96">
        <v>-3939</v>
      </c>
      <c r="E30" s="58">
        <f t="shared" si="18"/>
        <v>-5.0152905198776763</v>
      </c>
      <c r="F30" s="97">
        <f t="shared" si="19"/>
        <v>-4920</v>
      </c>
      <c r="G30" s="96">
        <v>4750</v>
      </c>
      <c r="H30" s="96">
        <v>-5319</v>
      </c>
      <c r="I30" s="58">
        <v>-2.265625</v>
      </c>
      <c r="J30" s="97">
        <v>-7685</v>
      </c>
      <c r="K30" s="96">
        <v>-1495</v>
      </c>
      <c r="L30" s="96">
        <f t="shared" si="0"/>
        <v>30982</v>
      </c>
      <c r="M30" s="58">
        <f t="shared" si="20"/>
        <v>-21.723745819397994</v>
      </c>
      <c r="N30" s="97">
        <f t="shared" si="14"/>
        <v>32477</v>
      </c>
      <c r="O30" s="96">
        <v>-5031</v>
      </c>
      <c r="P30" s="96">
        <f t="shared" si="15"/>
        <v>0</v>
      </c>
      <c r="Q30" s="58">
        <f t="shared" si="16"/>
        <v>-1</v>
      </c>
      <c r="R30" s="97">
        <f t="shared" si="17"/>
        <v>5031</v>
      </c>
      <c r="S30" s="96">
        <f t="shared" si="8"/>
        <v>4236</v>
      </c>
      <c r="T30" s="101">
        <v>21724</v>
      </c>
      <c r="U30" s="58">
        <f t="shared" si="21"/>
        <v>4.1284230406043436</v>
      </c>
      <c r="V30" s="97">
        <f t="shared" si="22"/>
        <v>17488</v>
      </c>
      <c r="W30"/>
      <c r="X30" s="345"/>
      <c r="Y30" s="399"/>
    </row>
    <row r="31" spans="1:26" ht="15.75" customHeight="1" outlineLevel="1">
      <c r="A31" s="330"/>
      <c r="B31" s="331" t="s">
        <v>562</v>
      </c>
      <c r="C31" s="96">
        <v>-3616</v>
      </c>
      <c r="D31" s="96">
        <v>-2739</v>
      </c>
      <c r="E31" s="58">
        <f t="shared" si="18"/>
        <v>-0.24253318584070793</v>
      </c>
      <c r="F31" s="97">
        <f t="shared" si="19"/>
        <v>877</v>
      </c>
      <c r="G31" s="96">
        <v>1631</v>
      </c>
      <c r="H31" s="96">
        <v>2464</v>
      </c>
      <c r="I31" s="58">
        <v>-6.5514357401728507E-2</v>
      </c>
      <c r="J31" s="97">
        <v>-235</v>
      </c>
      <c r="K31" s="96">
        <v>2221</v>
      </c>
      <c r="L31" s="96">
        <f t="shared" si="0"/>
        <v>2531</v>
      </c>
      <c r="M31" s="58">
        <f t="shared" si="20"/>
        <v>0.1395767672219721</v>
      </c>
      <c r="N31" s="97">
        <f t="shared" si="14"/>
        <v>310</v>
      </c>
      <c r="O31" s="96">
        <v>-1482</v>
      </c>
      <c r="P31" s="96">
        <f t="shared" si="15"/>
        <v>0</v>
      </c>
      <c r="Q31" s="58">
        <f t="shared" si="16"/>
        <v>-1</v>
      </c>
      <c r="R31" s="97">
        <f t="shared" si="17"/>
        <v>1482</v>
      </c>
      <c r="S31" s="96">
        <f t="shared" si="8"/>
        <v>236</v>
      </c>
      <c r="T31" s="101">
        <v>2256</v>
      </c>
      <c r="U31" s="58">
        <f t="shared" si="21"/>
        <v>8.5593220338983045</v>
      </c>
      <c r="V31" s="97">
        <f t="shared" si="22"/>
        <v>2020</v>
      </c>
      <c r="W31" s="312"/>
      <c r="X31" s="345"/>
      <c r="Y31" s="312"/>
    </row>
    <row r="32" spans="1:26" ht="15.75" customHeight="1" outlineLevel="1">
      <c r="A32" s="330"/>
      <c r="B32" s="331" t="s">
        <v>563</v>
      </c>
      <c r="C32" s="96">
        <v>-124</v>
      </c>
      <c r="D32" s="96">
        <v>-2981</v>
      </c>
      <c r="E32" s="58">
        <f t="shared" si="18"/>
        <v>23.04032258064516</v>
      </c>
      <c r="F32" s="97">
        <f t="shared" si="19"/>
        <v>-2857</v>
      </c>
      <c r="G32" s="96">
        <v>-509</v>
      </c>
      <c r="H32" s="96">
        <v>-1963</v>
      </c>
      <c r="I32" s="58">
        <v>0.72829922371206779</v>
      </c>
      <c r="J32" s="97">
        <v>-2064</v>
      </c>
      <c r="K32" s="96">
        <v>-1119</v>
      </c>
      <c r="L32" s="96">
        <f t="shared" si="0"/>
        <v>-3085</v>
      </c>
      <c r="M32" s="58">
        <f t="shared" si="20"/>
        <v>1.7569258266309205</v>
      </c>
      <c r="N32" s="97">
        <f t="shared" si="14"/>
        <v>-1966</v>
      </c>
      <c r="O32" s="96">
        <v>-4635</v>
      </c>
      <c r="P32" s="96">
        <f t="shared" si="15"/>
        <v>0</v>
      </c>
      <c r="Q32" s="58">
        <f t="shared" si="16"/>
        <v>-1</v>
      </c>
      <c r="R32" s="97">
        <f t="shared" si="17"/>
        <v>4635</v>
      </c>
      <c r="S32" s="96">
        <f t="shared" si="8"/>
        <v>-1752</v>
      </c>
      <c r="T32" s="101">
        <v>-8029</v>
      </c>
      <c r="U32" s="58">
        <f t="shared" si="21"/>
        <v>3.5827625570776256</v>
      </c>
      <c r="V32" s="97">
        <f t="shared" si="22"/>
        <v>-6277</v>
      </c>
      <c r="W32"/>
      <c r="X32" s="345"/>
      <c r="Y32"/>
    </row>
    <row r="33" spans="1:25" ht="15.75" customHeight="1" outlineLevel="1">
      <c r="A33" s="330"/>
      <c r="B33" s="331" t="s">
        <v>564</v>
      </c>
      <c r="C33" s="96">
        <v>-4949</v>
      </c>
      <c r="D33" s="96">
        <v>-3397</v>
      </c>
      <c r="E33" s="58">
        <f>D33/C33-1</f>
        <v>-0.31359870680945645</v>
      </c>
      <c r="F33" s="97">
        <f>D33-C33</f>
        <v>1552</v>
      </c>
      <c r="G33" s="96">
        <v>-4596</v>
      </c>
      <c r="H33" s="96">
        <v>-3176</v>
      </c>
      <c r="I33" s="58">
        <v>0.31958762886597936</v>
      </c>
      <c r="J33" s="97">
        <v>-1581</v>
      </c>
      <c r="K33" s="96">
        <v>-4591</v>
      </c>
      <c r="L33" s="96">
        <f t="shared" si="0"/>
        <v>-3138</v>
      </c>
      <c r="M33" s="58">
        <f t="shared" si="20"/>
        <v>-0.3164887824003485</v>
      </c>
      <c r="N33" s="97">
        <f t="shared" si="14"/>
        <v>1453</v>
      </c>
      <c r="O33" s="96">
        <v>-6338</v>
      </c>
      <c r="P33" s="96">
        <f t="shared" si="15"/>
        <v>0</v>
      </c>
      <c r="Q33" s="58">
        <f t="shared" si="16"/>
        <v>-1</v>
      </c>
      <c r="R33" s="97">
        <f t="shared" si="17"/>
        <v>6338</v>
      </c>
      <c r="S33" s="96">
        <f t="shared" si="8"/>
        <v>-14136</v>
      </c>
      <c r="T33" s="101">
        <v>-9711</v>
      </c>
      <c r="U33" s="58">
        <f t="shared" si="21"/>
        <v>-0.31303056027164688</v>
      </c>
      <c r="V33" s="97">
        <f t="shared" si="22"/>
        <v>4425</v>
      </c>
      <c r="W33"/>
      <c r="X33" s="345"/>
      <c r="Y33"/>
    </row>
    <row r="34" spans="1:25" ht="15.75" customHeight="1" outlineLevel="1">
      <c r="A34" s="330"/>
      <c r="B34" s="331" t="s">
        <v>565</v>
      </c>
      <c r="C34" s="96">
        <v>0</v>
      </c>
      <c r="D34" s="96">
        <v>-115</v>
      </c>
      <c r="E34" s="58"/>
      <c r="F34" s="97">
        <f>D34-C34</f>
        <v>-115</v>
      </c>
      <c r="G34" s="96">
        <v>-1384</v>
      </c>
      <c r="H34" s="96">
        <v>-1847</v>
      </c>
      <c r="I34" s="58"/>
      <c r="J34" s="97">
        <v>-3533</v>
      </c>
      <c r="K34" s="96">
        <v>-500</v>
      </c>
      <c r="L34" s="96">
        <f t="shared" si="0"/>
        <v>0</v>
      </c>
      <c r="M34" s="58">
        <f t="shared" si="20"/>
        <v>-1</v>
      </c>
      <c r="N34" s="97">
        <f t="shared" si="14"/>
        <v>500</v>
      </c>
      <c r="O34" s="96">
        <v>-3257</v>
      </c>
      <c r="P34" s="96">
        <f t="shared" si="15"/>
        <v>0</v>
      </c>
      <c r="Q34" s="58">
        <f t="shared" si="16"/>
        <v>-1</v>
      </c>
      <c r="R34" s="97">
        <f t="shared" si="17"/>
        <v>3257</v>
      </c>
      <c r="S34" s="96">
        <f t="shared" si="8"/>
        <v>-1884</v>
      </c>
      <c r="T34" s="101">
        <v>-1962</v>
      </c>
      <c r="U34" s="58">
        <f t="shared" si="21"/>
        <v>4.140127388535042E-2</v>
      </c>
      <c r="V34" s="97">
        <f t="shared" si="22"/>
        <v>-78</v>
      </c>
      <c r="W34"/>
      <c r="X34" s="345"/>
      <c r="Y34"/>
    </row>
    <row r="35" spans="1:25" ht="15.75" customHeight="1">
      <c r="A35" s="332"/>
      <c r="B35" s="333" t="s">
        <v>554</v>
      </c>
      <c r="C35" s="14">
        <v>0</v>
      </c>
      <c r="D35" s="30">
        <v>0</v>
      </c>
      <c r="E35" s="70"/>
      <c r="F35" s="71"/>
      <c r="G35" s="96">
        <v>0</v>
      </c>
      <c r="H35" s="96">
        <v>0</v>
      </c>
      <c r="I35" s="70"/>
      <c r="J35" s="71"/>
      <c r="K35" s="96">
        <v>0</v>
      </c>
      <c r="L35" s="96">
        <f t="shared" si="0"/>
        <v>0</v>
      </c>
      <c r="M35" s="70" t="e">
        <f t="shared" si="20"/>
        <v>#DIV/0!</v>
      </c>
      <c r="N35" s="71">
        <f t="shared" si="14"/>
        <v>0</v>
      </c>
      <c r="O35" s="96">
        <v>0</v>
      </c>
      <c r="P35" s="96">
        <f>T35-D35-H35-L35</f>
        <v>0</v>
      </c>
      <c r="Q35" s="70" t="e">
        <f t="shared" si="16"/>
        <v>#DIV/0!</v>
      </c>
      <c r="R35" s="71">
        <f t="shared" si="17"/>
        <v>0</v>
      </c>
      <c r="S35" s="96">
        <f t="shared" si="8"/>
        <v>0</v>
      </c>
      <c r="T35" s="96">
        <v>0</v>
      </c>
      <c r="U35" s="70" t="str">
        <f t="shared" si="21"/>
        <v>-</v>
      </c>
      <c r="V35" s="71">
        <f t="shared" si="22"/>
        <v>0</v>
      </c>
      <c r="W35"/>
      <c r="X35" s="345"/>
      <c r="Y35"/>
    </row>
    <row r="36" spans="1:25" ht="15.75" customHeight="1" outlineLevel="1">
      <c r="A36" s="336" t="s">
        <v>566</v>
      </c>
      <c r="B36" s="337"/>
      <c r="C36" s="17">
        <v>21481</v>
      </c>
      <c r="D36" s="17">
        <v>9663</v>
      </c>
      <c r="E36" s="72">
        <f>D36/C36-1</f>
        <v>-0.550160607048089</v>
      </c>
      <c r="F36" s="98">
        <f>D36-C36</f>
        <v>-11818</v>
      </c>
      <c r="G36" s="17">
        <v>19665</v>
      </c>
      <c r="H36" s="17">
        <v>4843</v>
      </c>
      <c r="I36" s="72">
        <v>-2.4868922508372791</v>
      </c>
      <c r="J36" s="98">
        <v>-21534</v>
      </c>
      <c r="K36" s="17">
        <f>SUM(K23:K35)</f>
        <v>13022</v>
      </c>
      <c r="L36" s="17">
        <f>SUM(L23:L35)</f>
        <v>24093</v>
      </c>
      <c r="M36" s="72">
        <f>L36/K36-1</f>
        <v>0.85017662417447393</v>
      </c>
      <c r="N36" s="98">
        <f>L36-K36</f>
        <v>11071</v>
      </c>
      <c r="O36" s="17">
        <v>25324</v>
      </c>
      <c r="P36" s="17">
        <f>SUM(P23:P35)</f>
        <v>0</v>
      </c>
      <c r="Q36" s="72">
        <f>P36/O36-1</f>
        <v>-1</v>
      </c>
      <c r="R36" s="98">
        <f>P36-O36</f>
        <v>-25324</v>
      </c>
      <c r="S36" s="17">
        <f>SUM(S23:S35)</f>
        <v>54168</v>
      </c>
      <c r="T36" s="17">
        <f>SUM(T23:T35)</f>
        <v>38599</v>
      </c>
      <c r="U36" s="72">
        <f t="shared" si="21"/>
        <v>-0.2874206173386501</v>
      </c>
      <c r="V36" s="98">
        <f t="shared" si="22"/>
        <v>-15569</v>
      </c>
      <c r="W36"/>
      <c r="X36" s="345"/>
      <c r="Y36"/>
    </row>
    <row r="37" spans="1:25" ht="15.75" customHeight="1" outlineLevel="1">
      <c r="A37" s="330" t="s">
        <v>567</v>
      </c>
      <c r="B37" s="331"/>
      <c r="C37" s="13"/>
      <c r="D37" s="24"/>
      <c r="E37" s="58"/>
      <c r="F37" s="59"/>
      <c r="G37" s="24">
        <v>0</v>
      </c>
      <c r="H37" s="24">
        <v>0</v>
      </c>
      <c r="I37" s="58"/>
      <c r="J37" s="59"/>
      <c r="K37" s="24">
        <v>0</v>
      </c>
      <c r="L37" s="24">
        <f t="shared" ref="L37:L46" si="23">T37-SUM(D37,H37)</f>
        <v>0</v>
      </c>
      <c r="M37" s="58"/>
      <c r="N37" s="59"/>
      <c r="O37" s="24"/>
      <c r="P37" s="24"/>
      <c r="Q37" s="58"/>
      <c r="R37" s="59"/>
      <c r="S37" s="24">
        <f t="shared" ref="S37:S46" si="24">C37+G37+K37</f>
        <v>0</v>
      </c>
      <c r="T37" s="24"/>
      <c r="U37" s="58"/>
      <c r="V37" s="59"/>
      <c r="W37"/>
      <c r="X37" s="345"/>
      <c r="Y37"/>
    </row>
    <row r="38" spans="1:25" ht="15.75" customHeight="1" outlineLevel="1">
      <c r="A38" s="330"/>
      <c r="B38" s="331" t="s">
        <v>404</v>
      </c>
      <c r="C38" s="101">
        <v>0</v>
      </c>
      <c r="D38" s="101">
        <v>0</v>
      </c>
      <c r="E38" s="58" t="e">
        <f>D38/C38-1</f>
        <v>#DIV/0!</v>
      </c>
      <c r="F38" s="97">
        <f>D38-C38</f>
        <v>0</v>
      </c>
      <c r="G38" s="96">
        <v>0</v>
      </c>
      <c r="H38" s="96">
        <v>0</v>
      </c>
      <c r="I38" s="58" t="e">
        <v>#DIV/0!</v>
      </c>
      <c r="J38" s="97">
        <v>0</v>
      </c>
      <c r="K38" s="96">
        <v>0</v>
      </c>
      <c r="L38" s="96">
        <f t="shared" si="23"/>
        <v>0</v>
      </c>
      <c r="M38" s="58"/>
      <c r="N38" s="97">
        <f t="shared" ref="N38:N46" si="25">L38-K38</f>
        <v>0</v>
      </c>
      <c r="O38" s="96">
        <v>0</v>
      </c>
      <c r="P38" s="96">
        <f t="shared" ref="P38:P46" si="26">T38-D38-H38-L38</f>
        <v>0</v>
      </c>
      <c r="Q38" s="58" t="e">
        <f t="shared" ref="Q38:Q46" si="27">P38/O38-1</f>
        <v>#DIV/0!</v>
      </c>
      <c r="R38" s="97">
        <f t="shared" ref="R38:R46" si="28">P38-O38</f>
        <v>0</v>
      </c>
      <c r="S38" s="96">
        <f t="shared" si="24"/>
        <v>0</v>
      </c>
      <c r="T38" s="96">
        <v>0</v>
      </c>
      <c r="U38" s="58" t="str">
        <f t="shared" ref="U38:U47" si="29">IFERROR(T38/S38-1,"-")</f>
        <v>-</v>
      </c>
      <c r="V38" s="97">
        <f t="shared" ref="V38:V47" si="30">T38-S38</f>
        <v>0</v>
      </c>
      <c r="W38"/>
      <c r="X38" s="345"/>
      <c r="Y38"/>
    </row>
    <row r="39" spans="1:25" ht="15.75" customHeight="1" outlineLevel="1">
      <c r="A39" s="330"/>
      <c r="B39" s="331" t="s">
        <v>568</v>
      </c>
      <c r="C39" s="96">
        <v>0</v>
      </c>
      <c r="D39" s="101">
        <v>0</v>
      </c>
      <c r="E39" s="58"/>
      <c r="F39" s="97"/>
      <c r="G39" s="96">
        <v>0</v>
      </c>
      <c r="H39" s="96">
        <v>0</v>
      </c>
      <c r="I39" s="58"/>
      <c r="J39" s="97"/>
      <c r="K39" s="96">
        <v>0</v>
      </c>
      <c r="L39" s="96">
        <f t="shared" si="23"/>
        <v>0</v>
      </c>
      <c r="M39" s="58"/>
      <c r="N39" s="97">
        <f t="shared" si="25"/>
        <v>0</v>
      </c>
      <c r="O39" s="96">
        <v>0</v>
      </c>
      <c r="P39" s="96">
        <f t="shared" si="26"/>
        <v>0</v>
      </c>
      <c r="Q39" s="58" t="e">
        <f t="shared" si="27"/>
        <v>#DIV/0!</v>
      </c>
      <c r="R39" s="97">
        <f t="shared" si="28"/>
        <v>0</v>
      </c>
      <c r="S39" s="96">
        <f t="shared" si="24"/>
        <v>0</v>
      </c>
      <c r="T39" s="96">
        <v>0</v>
      </c>
      <c r="U39" s="58" t="str">
        <f t="shared" si="29"/>
        <v>-</v>
      </c>
      <c r="V39" s="97">
        <f t="shared" si="30"/>
        <v>0</v>
      </c>
      <c r="W39"/>
      <c r="X39" s="345"/>
      <c r="Y39"/>
    </row>
    <row r="40" spans="1:25" ht="15.75" customHeight="1" outlineLevel="1">
      <c r="A40" s="330"/>
      <c r="B40" s="331" t="s">
        <v>569</v>
      </c>
      <c r="C40" s="96"/>
      <c r="D40" s="101"/>
      <c r="E40" s="58"/>
      <c r="F40" s="97"/>
      <c r="G40" s="96">
        <v>0</v>
      </c>
      <c r="H40" s="96">
        <v>0</v>
      </c>
      <c r="I40" s="58"/>
      <c r="J40" s="97"/>
      <c r="K40" s="96">
        <v>0</v>
      </c>
      <c r="L40" s="96">
        <f t="shared" si="23"/>
        <v>0</v>
      </c>
      <c r="M40" s="58"/>
      <c r="N40" s="97">
        <f t="shared" si="25"/>
        <v>0</v>
      </c>
      <c r="O40" s="96">
        <v>0</v>
      </c>
      <c r="P40" s="96">
        <f t="shared" si="26"/>
        <v>0</v>
      </c>
      <c r="Q40" s="58" t="e">
        <f t="shared" si="27"/>
        <v>#DIV/0!</v>
      </c>
      <c r="R40" s="97">
        <f t="shared" si="28"/>
        <v>0</v>
      </c>
      <c r="S40" s="96">
        <f t="shared" si="24"/>
        <v>0</v>
      </c>
      <c r="T40" s="96"/>
      <c r="U40" s="58" t="str">
        <f t="shared" si="29"/>
        <v>-</v>
      </c>
      <c r="V40" s="97">
        <f t="shared" si="30"/>
        <v>0</v>
      </c>
      <c r="W40"/>
      <c r="X40" s="345"/>
      <c r="Y40"/>
    </row>
    <row r="41" spans="1:25" ht="15.75" customHeight="1" outlineLevel="1">
      <c r="A41" s="330"/>
      <c r="B41" s="331" t="s">
        <v>570</v>
      </c>
      <c r="C41" s="96">
        <v>0</v>
      </c>
      <c r="D41" s="101">
        <v>0</v>
      </c>
      <c r="E41" s="58" t="e">
        <f>D41/C41-1</f>
        <v>#DIV/0!</v>
      </c>
      <c r="F41" s="97">
        <f>D41-C41</f>
        <v>0</v>
      </c>
      <c r="G41" s="96">
        <v>0</v>
      </c>
      <c r="H41" s="96">
        <v>0</v>
      </c>
      <c r="I41" s="58">
        <v>-1</v>
      </c>
      <c r="J41" s="97">
        <v>16</v>
      </c>
      <c r="K41" s="96">
        <v>0</v>
      </c>
      <c r="L41" s="96">
        <f t="shared" si="23"/>
        <v>0</v>
      </c>
      <c r="M41" s="58"/>
      <c r="N41" s="97">
        <f t="shared" si="25"/>
        <v>0</v>
      </c>
      <c r="O41" s="96">
        <v>0</v>
      </c>
      <c r="P41" s="96">
        <f t="shared" si="26"/>
        <v>0</v>
      </c>
      <c r="Q41" s="58" t="e">
        <f t="shared" si="27"/>
        <v>#DIV/0!</v>
      </c>
      <c r="R41" s="97">
        <f t="shared" si="28"/>
        <v>0</v>
      </c>
      <c r="S41" s="96">
        <f t="shared" si="24"/>
        <v>0</v>
      </c>
      <c r="T41" s="96">
        <v>0</v>
      </c>
      <c r="U41" s="58" t="str">
        <f t="shared" si="29"/>
        <v>-</v>
      </c>
      <c r="V41" s="97">
        <f t="shared" si="30"/>
        <v>0</v>
      </c>
      <c r="W41"/>
      <c r="X41" s="345"/>
      <c r="Y41"/>
    </row>
    <row r="42" spans="1:25" ht="15.75" customHeight="1" outlineLevel="1">
      <c r="A42" s="330"/>
      <c r="B42" s="331" t="s">
        <v>571</v>
      </c>
      <c r="C42" s="96">
        <v>0</v>
      </c>
      <c r="D42" s="101">
        <v>0</v>
      </c>
      <c r="E42" s="58"/>
      <c r="F42" s="97"/>
      <c r="G42" s="96">
        <v>0</v>
      </c>
      <c r="H42" s="96">
        <v>0</v>
      </c>
      <c r="I42" s="58"/>
      <c r="J42" s="97"/>
      <c r="K42" s="96">
        <v>8180</v>
      </c>
      <c r="L42" s="96">
        <f t="shared" si="23"/>
        <v>0</v>
      </c>
      <c r="M42" s="58"/>
      <c r="N42" s="97">
        <f t="shared" si="25"/>
        <v>-8180</v>
      </c>
      <c r="O42" s="96">
        <v>0</v>
      </c>
      <c r="P42" s="96">
        <f t="shared" si="26"/>
        <v>0</v>
      </c>
      <c r="Q42" s="58" t="e">
        <f t="shared" si="27"/>
        <v>#DIV/0!</v>
      </c>
      <c r="R42" s="97">
        <f t="shared" si="28"/>
        <v>0</v>
      </c>
      <c r="S42" s="96">
        <f t="shared" si="24"/>
        <v>8180</v>
      </c>
      <c r="T42" s="96">
        <v>0</v>
      </c>
      <c r="U42" s="58">
        <f t="shared" si="29"/>
        <v>-1</v>
      </c>
      <c r="V42" s="97">
        <f t="shared" si="30"/>
        <v>-8180</v>
      </c>
      <c r="W42"/>
      <c r="X42" s="345"/>
      <c r="Y42" s="399"/>
    </row>
    <row r="43" spans="1:25" ht="15.75" customHeight="1" outlineLevel="1">
      <c r="A43" s="330"/>
      <c r="B43" s="348" t="s">
        <v>572</v>
      </c>
      <c r="C43" s="96">
        <v>-2160</v>
      </c>
      <c r="D43" s="101">
        <v>-1003</v>
      </c>
      <c r="E43" s="58">
        <f>D43/C43-1</f>
        <v>-0.5356481481481481</v>
      </c>
      <c r="F43" s="97">
        <f>D43-C43</f>
        <v>1157</v>
      </c>
      <c r="G43" s="96">
        <v>-1054</v>
      </c>
      <c r="H43" s="96">
        <v>-2017</v>
      </c>
      <c r="I43" s="58">
        <v>-4.9309664694280109E-2</v>
      </c>
      <c r="J43" s="97">
        <v>25</v>
      </c>
      <c r="K43" s="96">
        <v>-1990</v>
      </c>
      <c r="L43" s="96">
        <f t="shared" si="23"/>
        <v>-1475</v>
      </c>
      <c r="M43" s="58">
        <f t="shared" ref="M43:M45" si="31">L43/K43-1</f>
        <v>-0.25879396984924619</v>
      </c>
      <c r="N43" s="97">
        <f t="shared" si="25"/>
        <v>515</v>
      </c>
      <c r="O43" s="96">
        <v>-4089</v>
      </c>
      <c r="P43" s="96">
        <f t="shared" si="26"/>
        <v>0</v>
      </c>
      <c r="Q43" s="58">
        <f t="shared" si="27"/>
        <v>-1</v>
      </c>
      <c r="R43" s="97">
        <f t="shared" si="28"/>
        <v>4089</v>
      </c>
      <c r="S43" s="96">
        <f t="shared" si="24"/>
        <v>-5204</v>
      </c>
      <c r="T43" s="96">
        <v>-4495</v>
      </c>
      <c r="U43" s="58">
        <f t="shared" si="29"/>
        <v>-0.13624135280553418</v>
      </c>
      <c r="V43" s="97">
        <f t="shared" si="30"/>
        <v>709</v>
      </c>
      <c r="W43"/>
      <c r="X43" s="345"/>
      <c r="Y43"/>
    </row>
    <row r="44" spans="1:25" ht="15.75" customHeight="1" outlineLevel="1">
      <c r="A44" s="330"/>
      <c r="B44" s="348" t="s">
        <v>573</v>
      </c>
      <c r="C44" s="96">
        <v>92</v>
      </c>
      <c r="D44" s="101">
        <v>2</v>
      </c>
      <c r="E44" s="58">
        <f>D44/C44-1</f>
        <v>-0.97826086956521741</v>
      </c>
      <c r="F44" s="97">
        <f>D44-C44</f>
        <v>-90</v>
      </c>
      <c r="G44" s="96">
        <v>5</v>
      </c>
      <c r="H44" s="96">
        <v>277</v>
      </c>
      <c r="I44" s="58">
        <v>-0.15238095238095239</v>
      </c>
      <c r="J44" s="97">
        <v>-32</v>
      </c>
      <c r="K44" s="96">
        <v>6057</v>
      </c>
      <c r="L44" s="96">
        <f t="shared" si="23"/>
        <v>320</v>
      </c>
      <c r="M44" s="58">
        <f t="shared" si="31"/>
        <v>-0.94716856529635129</v>
      </c>
      <c r="N44" s="97">
        <f t="shared" si="25"/>
        <v>-5737</v>
      </c>
      <c r="O44" s="96">
        <v>254</v>
      </c>
      <c r="P44" s="96">
        <f t="shared" si="26"/>
        <v>0</v>
      </c>
      <c r="Q44" s="58">
        <f t="shared" si="27"/>
        <v>-1</v>
      </c>
      <c r="R44" s="97">
        <f t="shared" si="28"/>
        <v>-254</v>
      </c>
      <c r="S44" s="96">
        <f t="shared" si="24"/>
        <v>6154</v>
      </c>
      <c r="T44" s="96">
        <v>599</v>
      </c>
      <c r="U44" s="58">
        <f t="shared" si="29"/>
        <v>-0.90266493337666565</v>
      </c>
      <c r="V44" s="97">
        <f t="shared" si="30"/>
        <v>-5555</v>
      </c>
      <c r="W44"/>
      <c r="X44" s="345"/>
      <c r="Y44"/>
    </row>
    <row r="45" spans="1:25" ht="15.75" customHeight="1">
      <c r="A45" s="330"/>
      <c r="B45" s="348" t="s">
        <v>574</v>
      </c>
      <c r="C45" s="96">
        <v>-644</v>
      </c>
      <c r="D45" s="101">
        <v>-1113</v>
      </c>
      <c r="E45" s="58">
        <f>D45/C45-1</f>
        <v>0.72826086956521729</v>
      </c>
      <c r="F45" s="97">
        <f>D45-C45</f>
        <v>-469</v>
      </c>
      <c r="G45" s="96">
        <v>-1197</v>
      </c>
      <c r="H45" s="96">
        <v>-1730</v>
      </c>
      <c r="I45" s="58">
        <v>-0.26961770623742454</v>
      </c>
      <c r="J45" s="97">
        <v>268</v>
      </c>
      <c r="K45" s="96">
        <v>-844</v>
      </c>
      <c r="L45" s="96">
        <f t="shared" si="23"/>
        <v>-1316</v>
      </c>
      <c r="M45" s="58">
        <f t="shared" si="31"/>
        <v>0.55924170616113744</v>
      </c>
      <c r="N45" s="97">
        <f t="shared" si="25"/>
        <v>-472</v>
      </c>
      <c r="O45" s="96">
        <v>-1947</v>
      </c>
      <c r="P45" s="96">
        <f t="shared" si="26"/>
        <v>0</v>
      </c>
      <c r="Q45" s="58">
        <f t="shared" si="27"/>
        <v>-1</v>
      </c>
      <c r="R45" s="97">
        <f t="shared" si="28"/>
        <v>1947</v>
      </c>
      <c r="S45" s="96">
        <f t="shared" si="24"/>
        <v>-2685</v>
      </c>
      <c r="T45" s="96">
        <v>-4159</v>
      </c>
      <c r="U45" s="58">
        <f t="shared" si="29"/>
        <v>0.54897579143389197</v>
      </c>
      <c r="V45" s="97">
        <f t="shared" si="30"/>
        <v>-1474</v>
      </c>
      <c r="W45"/>
      <c r="X45" s="345"/>
      <c r="Y45"/>
    </row>
    <row r="46" spans="1:25" ht="15.75" customHeight="1" outlineLevel="1">
      <c r="A46" s="330"/>
      <c r="B46" s="331" t="s">
        <v>575</v>
      </c>
      <c r="C46" s="96"/>
      <c r="D46" s="96"/>
      <c r="E46" s="58"/>
      <c r="F46" s="97"/>
      <c r="G46" s="96">
        <v>0</v>
      </c>
      <c r="H46" s="96">
        <v>0</v>
      </c>
      <c r="I46" s="58"/>
      <c r="J46" s="97"/>
      <c r="K46" s="96">
        <v>0</v>
      </c>
      <c r="L46" s="96">
        <f t="shared" si="23"/>
        <v>0</v>
      </c>
      <c r="M46" s="58"/>
      <c r="N46" s="97">
        <f t="shared" si="25"/>
        <v>0</v>
      </c>
      <c r="O46" s="96">
        <v>0</v>
      </c>
      <c r="P46" s="96">
        <f t="shared" si="26"/>
        <v>0</v>
      </c>
      <c r="Q46" s="58" t="e">
        <f t="shared" si="27"/>
        <v>#DIV/0!</v>
      </c>
      <c r="R46" s="97">
        <f t="shared" si="28"/>
        <v>0</v>
      </c>
      <c r="S46" s="96">
        <f t="shared" si="24"/>
        <v>0</v>
      </c>
      <c r="T46" s="96"/>
      <c r="U46" s="58" t="str">
        <f t="shared" si="29"/>
        <v>-</v>
      </c>
      <c r="V46" s="97">
        <f t="shared" si="30"/>
        <v>0</v>
      </c>
      <c r="W46"/>
      <c r="X46" s="345"/>
      <c r="Y46"/>
    </row>
    <row r="47" spans="1:25" ht="15.75" customHeight="1" outlineLevel="1">
      <c r="A47" s="336" t="s">
        <v>576</v>
      </c>
      <c r="B47" s="337"/>
      <c r="C47" s="17">
        <v>-2712</v>
      </c>
      <c r="D47" s="17">
        <v>-2114</v>
      </c>
      <c r="E47" s="72">
        <f>D47/C47-1</f>
        <v>-0.22050147492625372</v>
      </c>
      <c r="F47" s="98">
        <f>D47-C47</f>
        <v>598</v>
      </c>
      <c r="G47" s="17">
        <v>-2246</v>
      </c>
      <c r="H47" s="17">
        <v>-3470</v>
      </c>
      <c r="I47" s="72">
        <v>-0.21193573068094873</v>
      </c>
      <c r="J47" s="98">
        <v>277</v>
      </c>
      <c r="K47" s="17">
        <f>SUM(K38:K46)</f>
        <v>11403</v>
      </c>
      <c r="L47" s="17">
        <f>SUM(L38:L46)</f>
        <v>-2471</v>
      </c>
      <c r="M47" s="72">
        <f>L47/K47-1</f>
        <v>-1.2166973603437692</v>
      </c>
      <c r="N47" s="98">
        <f>L47-K47</f>
        <v>-13874</v>
      </c>
      <c r="O47" s="17">
        <v>-5782</v>
      </c>
      <c r="P47" s="17">
        <f t="shared" ref="P47" si="32">SUM(P38:P46)</f>
        <v>0</v>
      </c>
      <c r="Q47" s="72">
        <f>P47/O47-1</f>
        <v>-1</v>
      </c>
      <c r="R47" s="98">
        <f>P47-O47</f>
        <v>5782</v>
      </c>
      <c r="S47" s="17">
        <f>SUM(S38:S46)</f>
        <v>6445</v>
      </c>
      <c r="T47" s="17">
        <f>SUM(T38:T46)</f>
        <v>-8055</v>
      </c>
      <c r="U47" s="72">
        <f t="shared" si="29"/>
        <v>-2.2498060512024827</v>
      </c>
      <c r="V47" s="98">
        <f t="shared" si="30"/>
        <v>-14500</v>
      </c>
      <c r="W47"/>
      <c r="X47" s="345"/>
      <c r="Y47"/>
    </row>
    <row r="48" spans="1:25" ht="15.75" customHeight="1" outlineLevel="1">
      <c r="A48" s="330" t="s">
        <v>577</v>
      </c>
      <c r="B48" s="331"/>
      <c r="C48" s="19"/>
      <c r="D48" s="24"/>
      <c r="E48" s="58"/>
      <c r="F48" s="59"/>
      <c r="G48" s="30">
        <v>0</v>
      </c>
      <c r="H48" s="30">
        <v>0</v>
      </c>
      <c r="I48" s="58"/>
      <c r="J48" s="59"/>
      <c r="K48" s="30">
        <v>0</v>
      </c>
      <c r="L48" s="30">
        <f t="shared" ref="L48:L59" si="33">T48-SUM(D48,H48)</f>
        <v>0</v>
      </c>
      <c r="M48" s="58"/>
      <c r="N48" s="59"/>
      <c r="O48" s="30"/>
      <c r="P48" s="30"/>
      <c r="Q48" s="58"/>
      <c r="R48" s="59"/>
      <c r="S48" s="96">
        <f t="shared" ref="S48:S59" si="34">C48+G48+K48</f>
        <v>0</v>
      </c>
      <c r="T48" s="96"/>
      <c r="U48" s="58"/>
      <c r="V48" s="59"/>
      <c r="W48"/>
      <c r="X48" s="345"/>
      <c r="Y48"/>
    </row>
    <row r="49" spans="1:25" s="102" customFormat="1" ht="15.75" customHeight="1" outlineLevel="1">
      <c r="A49" s="347"/>
      <c r="B49" s="348" t="s">
        <v>578</v>
      </c>
      <c r="C49" s="96">
        <v>-11638</v>
      </c>
      <c r="D49" s="24">
        <v>-7952</v>
      </c>
      <c r="E49" s="58"/>
      <c r="F49" s="97">
        <f>D49-C49</f>
        <v>3686</v>
      </c>
      <c r="G49" s="96">
        <v>-2932</v>
      </c>
      <c r="H49" s="96">
        <v>-16503</v>
      </c>
      <c r="I49" s="58"/>
      <c r="J49" s="97">
        <v>-3411</v>
      </c>
      <c r="K49" s="96">
        <v>-2398</v>
      </c>
      <c r="L49" s="96">
        <f t="shared" si="33"/>
        <v>-13876</v>
      </c>
      <c r="M49" s="58">
        <f t="shared" ref="M49:M57" si="35">L49/K49-1</f>
        <v>4.7864887406171812</v>
      </c>
      <c r="N49" s="97">
        <f t="shared" ref="N49:N59" si="36">L49-K49</f>
        <v>-11478</v>
      </c>
      <c r="O49" s="96">
        <v>0</v>
      </c>
      <c r="P49" s="96">
        <f t="shared" ref="P49:P59" si="37">T49-D49-H49-L49</f>
        <v>0</v>
      </c>
      <c r="Q49" s="58" t="e">
        <f t="shared" ref="Q49:Q59" si="38">P49/O49-1</f>
        <v>#DIV/0!</v>
      </c>
      <c r="R49" s="97">
        <f t="shared" ref="R49:R59" si="39">P49-O49</f>
        <v>0</v>
      </c>
      <c r="S49" s="96">
        <f t="shared" si="34"/>
        <v>-16968</v>
      </c>
      <c r="T49" s="101">
        <v>-38331</v>
      </c>
      <c r="U49" s="58">
        <f t="shared" ref="U49:U61" si="40">IFERROR(T49/S49-1,"-")</f>
        <v>1.2590169731258842</v>
      </c>
      <c r="V49" s="97">
        <f t="shared" ref="V49:V61" si="41">T49-S49</f>
        <v>-21363</v>
      </c>
      <c r="W49"/>
      <c r="X49" s="345"/>
      <c r="Y49"/>
    </row>
    <row r="50" spans="1:25" ht="15.75" customHeight="1" outlineLevel="1">
      <c r="A50" s="330"/>
      <c r="B50" s="331" t="s">
        <v>579</v>
      </c>
      <c r="C50" s="96">
        <v>0</v>
      </c>
      <c r="D50" s="24">
        <v>0</v>
      </c>
      <c r="E50" s="58"/>
      <c r="F50" s="97">
        <f>D50-C50</f>
        <v>0</v>
      </c>
      <c r="G50" s="96">
        <v>0</v>
      </c>
      <c r="H50" s="96">
        <v>0</v>
      </c>
      <c r="I50" s="58"/>
      <c r="J50" s="97">
        <v>0</v>
      </c>
      <c r="K50" s="96">
        <v>0</v>
      </c>
      <c r="L50" s="96">
        <f t="shared" si="33"/>
        <v>0</v>
      </c>
      <c r="M50" s="58"/>
      <c r="N50" s="97">
        <f t="shared" si="36"/>
        <v>0</v>
      </c>
      <c r="O50" s="96">
        <v>0</v>
      </c>
      <c r="P50" s="96">
        <f t="shared" si="37"/>
        <v>0</v>
      </c>
      <c r="Q50" s="58" t="e">
        <f t="shared" si="38"/>
        <v>#DIV/0!</v>
      </c>
      <c r="R50" s="97">
        <f t="shared" si="39"/>
        <v>0</v>
      </c>
      <c r="S50" s="96">
        <f t="shared" si="34"/>
        <v>0</v>
      </c>
      <c r="T50" s="101">
        <v>0</v>
      </c>
      <c r="U50" s="58" t="str">
        <f t="shared" si="40"/>
        <v>-</v>
      </c>
      <c r="V50" s="97">
        <f t="shared" si="41"/>
        <v>0</v>
      </c>
      <c r="W50"/>
      <c r="X50" s="345"/>
      <c r="Y50"/>
    </row>
    <row r="51" spans="1:25" ht="15.75" customHeight="1" outlineLevel="1">
      <c r="A51" s="330"/>
      <c r="B51" s="331" t="s">
        <v>580</v>
      </c>
      <c r="C51" s="96"/>
      <c r="D51" s="24">
        <v>0</v>
      </c>
      <c r="E51" s="58"/>
      <c r="F51" s="97"/>
      <c r="G51" s="96">
        <v>0</v>
      </c>
      <c r="H51" s="96">
        <v>0</v>
      </c>
      <c r="I51" s="58"/>
      <c r="J51" s="97"/>
      <c r="K51" s="96">
        <v>0</v>
      </c>
      <c r="L51" s="96">
        <f t="shared" si="33"/>
        <v>0</v>
      </c>
      <c r="M51" s="58"/>
      <c r="N51" s="97">
        <f t="shared" si="36"/>
        <v>0</v>
      </c>
      <c r="O51" s="96">
        <v>0</v>
      </c>
      <c r="P51" s="96">
        <f t="shared" si="37"/>
        <v>0</v>
      </c>
      <c r="Q51" s="58" t="e">
        <f t="shared" si="38"/>
        <v>#DIV/0!</v>
      </c>
      <c r="R51" s="97">
        <f t="shared" si="39"/>
        <v>0</v>
      </c>
      <c r="S51" s="96">
        <f t="shared" si="34"/>
        <v>0</v>
      </c>
      <c r="T51" s="101">
        <v>0</v>
      </c>
      <c r="U51" s="58" t="str">
        <f t="shared" si="40"/>
        <v>-</v>
      </c>
      <c r="V51" s="97">
        <f t="shared" si="41"/>
        <v>0</v>
      </c>
      <c r="W51"/>
      <c r="X51" s="345"/>
      <c r="Y51"/>
    </row>
    <row r="52" spans="1:25" ht="15.75" customHeight="1" outlineLevel="1">
      <c r="A52" s="330"/>
      <c r="B52" s="331" t="s">
        <v>581</v>
      </c>
      <c r="C52" s="96">
        <v>-5999</v>
      </c>
      <c r="D52" s="24">
        <v>-10226</v>
      </c>
      <c r="E52" s="58"/>
      <c r="F52" s="97">
        <f>D52-C52</f>
        <v>-4227</v>
      </c>
      <c r="G52" s="96">
        <v>0</v>
      </c>
      <c r="H52" s="96">
        <v>0</v>
      </c>
      <c r="I52" s="58"/>
      <c r="J52" s="97">
        <v>0</v>
      </c>
      <c r="K52" s="96">
        <v>0</v>
      </c>
      <c r="L52" s="96">
        <f t="shared" si="33"/>
        <v>0</v>
      </c>
      <c r="M52" s="58"/>
      <c r="N52" s="97">
        <f t="shared" si="36"/>
        <v>0</v>
      </c>
      <c r="O52" s="96">
        <v>0</v>
      </c>
      <c r="P52" s="96">
        <f t="shared" si="37"/>
        <v>0</v>
      </c>
      <c r="Q52" s="58" t="e">
        <f t="shared" si="38"/>
        <v>#DIV/0!</v>
      </c>
      <c r="R52" s="97">
        <f t="shared" si="39"/>
        <v>0</v>
      </c>
      <c r="S52" s="96">
        <f t="shared" si="34"/>
        <v>-5999</v>
      </c>
      <c r="T52" s="101">
        <v>-10226</v>
      </c>
      <c r="U52" s="58">
        <f t="shared" si="40"/>
        <v>0.70461743623937312</v>
      </c>
      <c r="V52" s="97">
        <f t="shared" si="41"/>
        <v>-4227</v>
      </c>
      <c r="W52"/>
      <c r="X52" s="345"/>
      <c r="Y52"/>
    </row>
    <row r="53" spans="1:25" ht="15.75" customHeight="1" outlineLevel="1">
      <c r="A53" s="330"/>
      <c r="B53" s="331" t="s">
        <v>571</v>
      </c>
      <c r="C53" s="96">
        <v>-168</v>
      </c>
      <c r="D53" s="24">
        <v>22</v>
      </c>
      <c r="E53" s="58"/>
      <c r="F53" s="97"/>
      <c r="G53" s="96">
        <v>99</v>
      </c>
      <c r="H53" s="96">
        <v>-225</v>
      </c>
      <c r="I53" s="58"/>
      <c r="J53" s="97"/>
      <c r="K53" s="96">
        <v>20</v>
      </c>
      <c r="L53" s="96">
        <f t="shared" si="33"/>
        <v>-46</v>
      </c>
      <c r="M53" s="58">
        <f t="shared" si="35"/>
        <v>-3.3</v>
      </c>
      <c r="N53" s="97">
        <f t="shared" si="36"/>
        <v>-66</v>
      </c>
      <c r="O53" s="96">
        <v>1091</v>
      </c>
      <c r="P53" s="96">
        <f t="shared" si="37"/>
        <v>0</v>
      </c>
      <c r="Q53" s="58">
        <f t="shared" si="38"/>
        <v>-1</v>
      </c>
      <c r="R53" s="97">
        <f t="shared" si="39"/>
        <v>-1091</v>
      </c>
      <c r="S53" s="96">
        <f t="shared" si="34"/>
        <v>-49</v>
      </c>
      <c r="T53" s="101">
        <v>-249</v>
      </c>
      <c r="U53" s="58">
        <f t="shared" si="40"/>
        <v>4.0816326530612246</v>
      </c>
      <c r="V53" s="97">
        <f t="shared" si="41"/>
        <v>-200</v>
      </c>
      <c r="W53"/>
      <c r="X53" s="345"/>
      <c r="Y53"/>
    </row>
    <row r="54" spans="1:25" ht="15.75" customHeight="1" outlineLevel="1">
      <c r="A54" s="330"/>
      <c r="B54" s="331" t="s">
        <v>510</v>
      </c>
      <c r="C54" s="96">
        <v>0</v>
      </c>
      <c r="D54" s="24">
        <v>0</v>
      </c>
      <c r="E54" s="58" t="e">
        <f>D54/C54-1</f>
        <v>#DIV/0!</v>
      </c>
      <c r="F54" s="97">
        <f>D54-C54</f>
        <v>0</v>
      </c>
      <c r="G54" s="96">
        <v>0</v>
      </c>
      <c r="H54" s="96">
        <v>0</v>
      </c>
      <c r="I54" s="58" t="e">
        <v>#DIV/0!</v>
      </c>
      <c r="J54" s="97">
        <v>0</v>
      </c>
      <c r="K54" s="96">
        <v>0</v>
      </c>
      <c r="L54" s="96">
        <f t="shared" si="33"/>
        <v>46000</v>
      </c>
      <c r="M54" s="58"/>
      <c r="N54" s="97">
        <f t="shared" si="36"/>
        <v>46000</v>
      </c>
      <c r="O54" s="96">
        <v>0</v>
      </c>
      <c r="P54" s="96">
        <f t="shared" si="37"/>
        <v>0</v>
      </c>
      <c r="Q54" s="58" t="e">
        <f t="shared" si="38"/>
        <v>#DIV/0!</v>
      </c>
      <c r="R54" s="97">
        <f t="shared" si="39"/>
        <v>0</v>
      </c>
      <c r="S54" s="96">
        <f t="shared" si="34"/>
        <v>0</v>
      </c>
      <c r="T54" s="101">
        <v>46000</v>
      </c>
      <c r="U54" s="58" t="str">
        <f t="shared" si="40"/>
        <v>-</v>
      </c>
      <c r="V54" s="97">
        <f t="shared" si="41"/>
        <v>46000</v>
      </c>
      <c r="W54"/>
      <c r="X54" s="345"/>
      <c r="Y54"/>
    </row>
    <row r="55" spans="1:25" ht="15.75" customHeight="1">
      <c r="A55" s="330"/>
      <c r="B55" s="331" t="s">
        <v>582</v>
      </c>
      <c r="C55" s="96">
        <v>-3877</v>
      </c>
      <c r="D55" s="96">
        <v>-3884</v>
      </c>
      <c r="E55" s="58">
        <f>D55/C55-1</f>
        <v>1.8055197317512484E-3</v>
      </c>
      <c r="F55" s="97">
        <f>D55-C55</f>
        <v>-7</v>
      </c>
      <c r="G55" s="96">
        <v>-7126</v>
      </c>
      <c r="H55" s="96">
        <v>-3885</v>
      </c>
      <c r="I55" s="58">
        <v>0.77178030303030298</v>
      </c>
      <c r="J55" s="97">
        <v>-815</v>
      </c>
      <c r="K55" s="96">
        <v>-12080</v>
      </c>
      <c r="L55" s="96">
        <f t="shared" si="33"/>
        <v>-25670</v>
      </c>
      <c r="M55" s="58">
        <f t="shared" si="35"/>
        <v>1.125</v>
      </c>
      <c r="N55" s="97">
        <f t="shared" si="36"/>
        <v>-13590</v>
      </c>
      <c r="O55" s="96">
        <v>-2712</v>
      </c>
      <c r="P55" s="96">
        <f t="shared" si="37"/>
        <v>0</v>
      </c>
      <c r="Q55" s="58">
        <f t="shared" si="38"/>
        <v>-1</v>
      </c>
      <c r="R55" s="97">
        <f t="shared" si="39"/>
        <v>2712</v>
      </c>
      <c r="S55" s="96">
        <f t="shared" si="34"/>
        <v>-23083</v>
      </c>
      <c r="T55" s="101">
        <v>-33439</v>
      </c>
      <c r="U55" s="58">
        <f t="shared" si="40"/>
        <v>0.44864185764415376</v>
      </c>
      <c r="V55" s="97">
        <f t="shared" si="41"/>
        <v>-10356</v>
      </c>
      <c r="W55"/>
      <c r="X55" s="345"/>
      <c r="Y55"/>
    </row>
    <row r="56" spans="1:25" ht="15.75" customHeight="1">
      <c r="A56" s="330"/>
      <c r="B56" s="331" t="s">
        <v>583</v>
      </c>
      <c r="C56" s="24">
        <v>0</v>
      </c>
      <c r="D56" s="96">
        <v>0</v>
      </c>
      <c r="E56" s="58"/>
      <c r="F56" s="97">
        <f>D56-C56</f>
        <v>0</v>
      </c>
      <c r="G56" s="96">
        <v>0</v>
      </c>
      <c r="H56" s="96">
        <v>0</v>
      </c>
      <c r="I56" s="58"/>
      <c r="J56" s="97"/>
      <c r="K56" s="96">
        <v>0</v>
      </c>
      <c r="L56" s="96">
        <f t="shared" si="33"/>
        <v>0</v>
      </c>
      <c r="M56" s="58"/>
      <c r="N56" s="97">
        <f t="shared" si="36"/>
        <v>0</v>
      </c>
      <c r="O56" s="96">
        <v>0</v>
      </c>
      <c r="P56" s="96">
        <f t="shared" si="37"/>
        <v>0</v>
      </c>
      <c r="Q56" s="58" t="e">
        <f t="shared" si="38"/>
        <v>#DIV/0!</v>
      </c>
      <c r="R56" s="97">
        <f t="shared" si="39"/>
        <v>0</v>
      </c>
      <c r="S56" s="96">
        <f t="shared" si="34"/>
        <v>0</v>
      </c>
      <c r="T56" s="101">
        <v>0</v>
      </c>
      <c r="U56" s="58" t="str">
        <f t="shared" si="40"/>
        <v>-</v>
      </c>
      <c r="V56" s="97">
        <f t="shared" si="41"/>
        <v>0</v>
      </c>
      <c r="W56"/>
      <c r="X56" s="345"/>
      <c r="Y56"/>
    </row>
    <row r="57" spans="1:25" ht="15.75" customHeight="1">
      <c r="A57" s="330"/>
      <c r="B57" s="331" t="s">
        <v>584</v>
      </c>
      <c r="C57" s="24">
        <v>-407</v>
      </c>
      <c r="D57" s="96">
        <v>-349</v>
      </c>
      <c r="E57" s="58"/>
      <c r="F57" s="97"/>
      <c r="G57" s="96">
        <v>-353</v>
      </c>
      <c r="H57" s="96">
        <v>-334</v>
      </c>
      <c r="I57" s="58"/>
      <c r="J57" s="97"/>
      <c r="K57" s="96">
        <v>-447</v>
      </c>
      <c r="L57" s="96">
        <f t="shared" si="33"/>
        <v>-358</v>
      </c>
      <c r="M57" s="58">
        <f t="shared" si="35"/>
        <v>-0.19910514541387025</v>
      </c>
      <c r="N57" s="97">
        <f t="shared" si="36"/>
        <v>89</v>
      </c>
      <c r="O57" s="96">
        <v>-423</v>
      </c>
      <c r="P57" s="96">
        <f t="shared" si="37"/>
        <v>0</v>
      </c>
      <c r="Q57" s="58">
        <f t="shared" si="38"/>
        <v>-1</v>
      </c>
      <c r="R57" s="97">
        <f t="shared" si="39"/>
        <v>423</v>
      </c>
      <c r="S57" s="96">
        <f t="shared" si="34"/>
        <v>-1207</v>
      </c>
      <c r="T57" s="101">
        <v>-1041</v>
      </c>
      <c r="U57" s="58">
        <f t="shared" si="40"/>
        <v>-0.13753106876553434</v>
      </c>
      <c r="V57" s="97">
        <f t="shared" si="41"/>
        <v>166</v>
      </c>
      <c r="W57"/>
      <c r="X57" s="345"/>
      <c r="Y57"/>
    </row>
    <row r="58" spans="1:25" ht="15.75" customHeight="1">
      <c r="A58" s="330"/>
      <c r="B58" s="331" t="s">
        <v>585</v>
      </c>
      <c r="C58" s="96"/>
      <c r="D58" s="96"/>
      <c r="E58" s="58"/>
      <c r="F58" s="59"/>
      <c r="G58" s="96">
        <v>0</v>
      </c>
      <c r="H58" s="96">
        <v>0</v>
      </c>
      <c r="I58" s="58"/>
      <c r="J58" s="59"/>
      <c r="K58" s="96">
        <v>0</v>
      </c>
      <c r="L58" s="96">
        <f t="shared" si="33"/>
        <v>0</v>
      </c>
      <c r="M58" s="58"/>
      <c r="N58" s="59">
        <f t="shared" si="36"/>
        <v>0</v>
      </c>
      <c r="O58" s="96">
        <v>0</v>
      </c>
      <c r="P58" s="96">
        <f t="shared" si="37"/>
        <v>0</v>
      </c>
      <c r="Q58" s="58" t="e">
        <f t="shared" si="38"/>
        <v>#DIV/0!</v>
      </c>
      <c r="R58" s="59">
        <f t="shared" si="39"/>
        <v>0</v>
      </c>
      <c r="S58" s="96">
        <f t="shared" si="34"/>
        <v>0</v>
      </c>
      <c r="T58" s="101"/>
      <c r="U58" s="58" t="str">
        <f t="shared" si="40"/>
        <v>-</v>
      </c>
      <c r="V58" s="59">
        <f t="shared" si="41"/>
        <v>0</v>
      </c>
      <c r="W58"/>
      <c r="X58" s="345"/>
      <c r="Y58"/>
    </row>
    <row r="59" spans="1:25" ht="15.75" customHeight="1">
      <c r="A59" s="330"/>
      <c r="B59" s="331" t="s">
        <v>586</v>
      </c>
      <c r="C59" s="96">
        <v>0</v>
      </c>
      <c r="D59" s="96">
        <v>2016</v>
      </c>
      <c r="E59" s="58"/>
      <c r="F59" s="59"/>
      <c r="G59" s="96">
        <v>3201</v>
      </c>
      <c r="H59" s="96">
        <v>1185</v>
      </c>
      <c r="I59" s="58"/>
      <c r="J59" s="59"/>
      <c r="K59" s="96">
        <v>0</v>
      </c>
      <c r="L59" s="96">
        <f t="shared" si="33"/>
        <v>2515</v>
      </c>
      <c r="M59" s="58"/>
      <c r="N59" s="59">
        <f t="shared" si="36"/>
        <v>2515</v>
      </c>
      <c r="O59" s="96">
        <v>0</v>
      </c>
      <c r="P59" s="96">
        <f t="shared" si="37"/>
        <v>0</v>
      </c>
      <c r="Q59" s="58" t="e">
        <f t="shared" si="38"/>
        <v>#DIV/0!</v>
      </c>
      <c r="R59" s="59">
        <f t="shared" si="39"/>
        <v>0</v>
      </c>
      <c r="S59" s="96">
        <f t="shared" si="34"/>
        <v>3201</v>
      </c>
      <c r="T59" s="101">
        <v>5716</v>
      </c>
      <c r="U59" s="58"/>
      <c r="V59" s="59"/>
      <c r="W59"/>
      <c r="X59" s="345"/>
      <c r="Y59"/>
    </row>
    <row r="60" spans="1:25" ht="15.75" customHeight="1">
      <c r="A60" s="336" t="s">
        <v>587</v>
      </c>
      <c r="B60" s="337"/>
      <c r="C60" s="17">
        <f t="shared" ref="C60" si="42">SUM(C49:C59)</f>
        <v>-22089</v>
      </c>
      <c r="D60" s="17">
        <v>-20373</v>
      </c>
      <c r="E60" s="72">
        <f>D60/C60-1</f>
        <v>-7.7685725926931903E-2</v>
      </c>
      <c r="F60" s="73">
        <f>D60-C60</f>
        <v>1716</v>
      </c>
      <c r="G60" s="17">
        <f>SUM(G49:G59)</f>
        <v>-7111</v>
      </c>
      <c r="H60" s="17">
        <v>-19762</v>
      </c>
      <c r="I60" s="72">
        <v>1.25</v>
      </c>
      <c r="J60" s="73">
        <v>-2010</v>
      </c>
      <c r="K60" s="17">
        <v>-14905</v>
      </c>
      <c r="L60" s="17">
        <f>SUM(L49:L59)</f>
        <v>8565</v>
      </c>
      <c r="M60" s="72">
        <f>L60/K60-1</f>
        <v>-1.5746393827574638</v>
      </c>
      <c r="N60" s="73">
        <f>L60-K60</f>
        <v>23470</v>
      </c>
      <c r="O60" s="17">
        <v>-2044</v>
      </c>
      <c r="P60" s="17">
        <f>SUM(P49:P58)</f>
        <v>0</v>
      </c>
      <c r="Q60" s="72">
        <f>P60/O60-1</f>
        <v>-1</v>
      </c>
      <c r="R60" s="73">
        <f>P60-O60</f>
        <v>2044</v>
      </c>
      <c r="S60" s="17">
        <f>SUM(S49:S59)</f>
        <v>-44105</v>
      </c>
      <c r="T60" s="17">
        <f>SUM(T49:T59)</f>
        <v>-31570</v>
      </c>
      <c r="U60" s="72">
        <f t="shared" si="40"/>
        <v>-0.28420813966670444</v>
      </c>
      <c r="V60" s="73">
        <f t="shared" si="41"/>
        <v>12535</v>
      </c>
      <c r="W60"/>
      <c r="X60" s="345"/>
      <c r="Y60"/>
    </row>
    <row r="61" spans="1:25" ht="15.75" customHeight="1" thickBot="1">
      <c r="A61" s="338"/>
      <c r="B61" s="339" t="s">
        <v>588</v>
      </c>
      <c r="C61" s="20">
        <f t="shared" ref="C61" si="43">C60+C47+C36</f>
        <v>-3320</v>
      </c>
      <c r="D61" s="20">
        <v>-12824</v>
      </c>
      <c r="E61" s="74">
        <f>D61/C61-1</f>
        <v>2.8626506024096385</v>
      </c>
      <c r="F61" s="75">
        <f>D61-C61</f>
        <v>-9504</v>
      </c>
      <c r="G61" s="20">
        <f>G60+G47+G36</f>
        <v>10308</v>
      </c>
      <c r="H61" s="20">
        <v>-18389</v>
      </c>
      <c r="I61" s="74">
        <v>-4.0506615598885798</v>
      </c>
      <c r="J61" s="75">
        <v>-23267</v>
      </c>
      <c r="K61" s="20">
        <v>9520</v>
      </c>
      <c r="L61" s="20">
        <f>L60+L47+L36</f>
        <v>30187</v>
      </c>
      <c r="M61" s="74">
        <f>L61/K61-1</f>
        <v>2.1709033613445379</v>
      </c>
      <c r="N61" s="75">
        <f>L61-K61</f>
        <v>20667</v>
      </c>
      <c r="O61" s="20">
        <v>17498</v>
      </c>
      <c r="P61" s="20">
        <f>P60+P47+P36</f>
        <v>0</v>
      </c>
      <c r="Q61" s="74">
        <f>P61/O61-1</f>
        <v>-1</v>
      </c>
      <c r="R61" s="75">
        <f>P61-O61</f>
        <v>-17498</v>
      </c>
      <c r="S61" s="20">
        <f>S60+S47+S36</f>
        <v>16508</v>
      </c>
      <c r="T61" s="20">
        <f>T60+T47+T36</f>
        <v>-1026</v>
      </c>
      <c r="U61" s="74">
        <f t="shared" si="40"/>
        <v>-1.0621516840319845</v>
      </c>
      <c r="V61" s="75">
        <f t="shared" si="41"/>
        <v>-17534</v>
      </c>
      <c r="W61"/>
      <c r="X61" s="345"/>
      <c r="Y61"/>
    </row>
    <row r="62" spans="1:25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5" ht="15.75" customHeight="1">
      <c r="A63" s="330"/>
      <c r="B63" s="3" t="s">
        <v>589</v>
      </c>
      <c r="C63" s="29">
        <v>98325</v>
      </c>
      <c r="D63" s="307">
        <v>125152</v>
      </c>
      <c r="E63" s="76">
        <f>D63/C63-1</f>
        <v>0.27284007119247389</v>
      </c>
      <c r="F63" s="97">
        <f>D63-C63</f>
        <v>26827</v>
      </c>
      <c r="G63" s="96">
        <f>C65</f>
        <v>95005</v>
      </c>
      <c r="H63" s="307">
        <v>112328</v>
      </c>
      <c r="I63" s="76">
        <v>-0.15224433622697442</v>
      </c>
      <c r="J63" s="97">
        <v>-14381</v>
      </c>
      <c r="K63" s="96">
        <v>105313</v>
      </c>
      <c r="L63" s="307">
        <f>H65</f>
        <v>93939</v>
      </c>
      <c r="M63" s="76">
        <f>L63/K63-1</f>
        <v>-0.10800186111876031</v>
      </c>
      <c r="N63" s="97">
        <f>L63-K63</f>
        <v>-11374</v>
      </c>
      <c r="O63" s="96">
        <v>80827</v>
      </c>
      <c r="P63" s="307">
        <f>L65</f>
        <v>124126</v>
      </c>
      <c r="Q63" s="76">
        <f>P63/O63-1</f>
        <v>0.53569970430672909</v>
      </c>
      <c r="R63" s="97">
        <f>P63-O63</f>
        <v>43299</v>
      </c>
      <c r="S63" s="101">
        <f>C63</f>
        <v>98325</v>
      </c>
      <c r="T63" s="96">
        <v>125152</v>
      </c>
      <c r="U63" s="76">
        <f>IFERROR(T63/S63-1,"-")</f>
        <v>0.27284007119247389</v>
      </c>
      <c r="V63" s="97">
        <f>T63-S63</f>
        <v>26827</v>
      </c>
      <c r="W63"/>
      <c r="X63" s="345"/>
      <c r="Y63"/>
    </row>
    <row r="64" spans="1:25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590</v>
      </c>
      <c r="C65" s="21">
        <f t="shared" ref="C65" si="44">SUM(C61:C64)</f>
        <v>95005</v>
      </c>
      <c r="D65" s="21">
        <v>112328</v>
      </c>
      <c r="E65" s="77">
        <f>D65/C65-1</f>
        <v>0.18233777169622645</v>
      </c>
      <c r="F65" s="99">
        <f>D65-C65</f>
        <v>17323</v>
      </c>
      <c r="G65" s="21">
        <f>SUM(G61:G64)</f>
        <v>105313</v>
      </c>
      <c r="H65" s="21">
        <v>93939</v>
      </c>
      <c r="I65" s="77">
        <v>-0.37571354436948623</v>
      </c>
      <c r="J65" s="99">
        <v>-37648</v>
      </c>
      <c r="K65" s="21">
        <v>114833</v>
      </c>
      <c r="L65" s="21">
        <f>SUM(L61:L64)</f>
        <v>124126</v>
      </c>
      <c r="M65" s="77">
        <f>L65/K65-1</f>
        <v>8.0926214589882806E-2</v>
      </c>
      <c r="N65" s="99">
        <f>L65-K65</f>
        <v>9293</v>
      </c>
      <c r="O65" s="21">
        <v>98325</v>
      </c>
      <c r="P65" s="21">
        <f>SUM(P61:P64)</f>
        <v>124126</v>
      </c>
      <c r="Q65" s="77">
        <f>P65/O65-1</f>
        <v>0.26240528858377821</v>
      </c>
      <c r="R65" s="99">
        <f>P65-O65</f>
        <v>25801</v>
      </c>
      <c r="S65" s="21">
        <f>SUM(S61:S64)</f>
        <v>114833</v>
      </c>
      <c r="T65" s="21">
        <f>SUM(T61:T64)</f>
        <v>124126</v>
      </c>
      <c r="U65" s="77">
        <f>IFERROR(T65/S65-1,"-")</f>
        <v>8.0926214589882806E-2</v>
      </c>
      <c r="V65" s="99">
        <f>T65-S65</f>
        <v>9293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55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56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49572</v>
      </c>
      <c r="U69" s="275">
        <f>S69/10^3</f>
        <v>-5.6970000000000001</v>
      </c>
      <c r="V69" s="276">
        <f>T69/10^3</f>
        <v>49.572000000000003</v>
      </c>
    </row>
    <row r="70" spans="1:24" ht="12" hidden="1">
      <c r="A70" s="37" t="s">
        <v>57</v>
      </c>
      <c r="B70" s="37"/>
      <c r="C70" s="38">
        <v>20270</v>
      </c>
      <c r="D70" s="38">
        <v>9491</v>
      </c>
      <c r="E70" s="272">
        <f t="shared" ref="E70:E76" si="45">C70/1000</f>
        <v>20.27</v>
      </c>
      <c r="F70" s="272">
        <f t="shared" ref="F70:F76" si="46">D70/1000</f>
        <v>9.4909999999999997</v>
      </c>
      <c r="G70" s="38"/>
      <c r="H70" s="38"/>
      <c r="I70" s="275">
        <f t="shared" ref="I70:I76" si="47">G70/10^3</f>
        <v>0</v>
      </c>
      <c r="J70" s="276">
        <f t="shared" ref="J70:J76" si="48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11065</v>
      </c>
      <c r="U70" s="275">
        <f t="shared" ref="U70:U76" si="49">S70/10^3</f>
        <v>20.27</v>
      </c>
      <c r="V70" s="276">
        <f t="shared" ref="V70:V76" si="50">T70/10^3</f>
        <v>11.065</v>
      </c>
    </row>
    <row r="71" spans="1:24" ht="12" hidden="1">
      <c r="A71" s="37" t="s">
        <v>58</v>
      </c>
      <c r="B71" s="37"/>
      <c r="C71" s="38">
        <v>-12276</v>
      </c>
      <c r="D71" s="38">
        <v>6215</v>
      </c>
      <c r="E71" s="272">
        <f t="shared" si="45"/>
        <v>-12.276</v>
      </c>
      <c r="F71" s="272">
        <f t="shared" si="46"/>
        <v>6.2149999999999999</v>
      </c>
      <c r="G71" s="38"/>
      <c r="H71" s="38"/>
      <c r="I71" s="275">
        <f t="shared" si="47"/>
        <v>0</v>
      </c>
      <c r="J71" s="276">
        <f t="shared" si="48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-22038</v>
      </c>
      <c r="U71" s="275">
        <f t="shared" si="49"/>
        <v>-12.276</v>
      </c>
      <c r="V71" s="276">
        <f t="shared" si="50"/>
        <v>-22.038</v>
      </c>
    </row>
    <row r="72" spans="1:24" ht="12" hidden="1">
      <c r="A72" s="37" t="s">
        <v>59</v>
      </c>
      <c r="B72" s="37"/>
      <c r="C72" s="38">
        <v>-976</v>
      </c>
      <c r="D72" s="38">
        <v>-2714</v>
      </c>
      <c r="E72" s="272">
        <f t="shared" si="45"/>
        <v>-0.97599999999999998</v>
      </c>
      <c r="F72" s="272">
        <f t="shared" si="46"/>
        <v>-2.714</v>
      </c>
      <c r="G72" s="38"/>
      <c r="H72" s="38"/>
      <c r="I72" s="275">
        <f t="shared" si="47"/>
        <v>0</v>
      </c>
      <c r="J72" s="276">
        <f t="shared" si="48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-8055</v>
      </c>
      <c r="U72" s="275">
        <f t="shared" si="49"/>
        <v>-0.97599999999999998</v>
      </c>
      <c r="V72" s="276">
        <f t="shared" si="50"/>
        <v>-8.0549999999999997</v>
      </c>
    </row>
    <row r="73" spans="1:24" ht="12" hidden="1">
      <c r="A73" s="37" t="s">
        <v>60</v>
      </c>
      <c r="B73" s="37"/>
      <c r="C73" s="38">
        <v>-10875</v>
      </c>
      <c r="D73" s="38">
        <v>-22089</v>
      </c>
      <c r="E73" s="272">
        <f t="shared" si="45"/>
        <v>-10.875</v>
      </c>
      <c r="F73" s="272">
        <f t="shared" si="46"/>
        <v>-22.088999999999999</v>
      </c>
      <c r="G73" s="38"/>
      <c r="H73" s="38"/>
      <c r="I73" s="275">
        <f t="shared" si="47"/>
        <v>0</v>
      </c>
      <c r="J73" s="276">
        <f t="shared" si="48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-37286</v>
      </c>
      <c r="U73" s="275">
        <f t="shared" si="49"/>
        <v>-10.875</v>
      </c>
      <c r="V73" s="276">
        <f t="shared" si="50"/>
        <v>-37.286000000000001</v>
      </c>
    </row>
    <row r="74" spans="1:24" ht="12" hidden="1">
      <c r="A74" s="37" t="s">
        <v>61</v>
      </c>
      <c r="B74" s="37"/>
      <c r="C74" s="38">
        <v>-9554</v>
      </c>
      <c r="D74" s="38">
        <v>-3320</v>
      </c>
      <c r="E74" s="272">
        <f t="shared" si="45"/>
        <v>-9.5540000000000003</v>
      </c>
      <c r="F74" s="272">
        <f t="shared" si="46"/>
        <v>-3.32</v>
      </c>
      <c r="G74" s="38"/>
      <c r="H74" s="38"/>
      <c r="I74" s="275">
        <f t="shared" si="47"/>
        <v>0</v>
      </c>
      <c r="J74" s="276">
        <f t="shared" si="48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-6742</v>
      </c>
      <c r="U74" s="275">
        <f t="shared" si="49"/>
        <v>-9.5540000000000003</v>
      </c>
      <c r="V74" s="276">
        <f t="shared" si="50"/>
        <v>-6.742</v>
      </c>
    </row>
    <row r="75" spans="1:24" ht="12" hidden="1">
      <c r="A75" s="37" t="s">
        <v>62</v>
      </c>
      <c r="B75" s="37"/>
      <c r="C75" s="38">
        <v>89633</v>
      </c>
      <c r="D75" s="38">
        <v>98325</v>
      </c>
      <c r="E75" s="272">
        <f t="shared" si="45"/>
        <v>89.632999999999996</v>
      </c>
      <c r="F75" s="272">
        <f t="shared" si="46"/>
        <v>98.325000000000003</v>
      </c>
      <c r="G75" s="38"/>
      <c r="H75" s="38"/>
      <c r="I75" s="275">
        <f t="shared" si="47"/>
        <v>0</v>
      </c>
      <c r="J75" s="276">
        <f t="shared" si="48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49"/>
        <v>89.632999999999996</v>
      </c>
      <c r="V75" s="276">
        <f t="shared" si="50"/>
        <v>125.152</v>
      </c>
    </row>
    <row r="76" spans="1:24" ht="12" hidden="1">
      <c r="A76" s="37" t="s">
        <v>63</v>
      </c>
      <c r="B76" s="37"/>
      <c r="C76" s="38">
        <v>80079</v>
      </c>
      <c r="D76" s="38">
        <v>95005</v>
      </c>
      <c r="E76" s="272">
        <f t="shared" si="45"/>
        <v>80.078999999999994</v>
      </c>
      <c r="F76" s="272">
        <f t="shared" si="46"/>
        <v>95.004999999999995</v>
      </c>
      <c r="G76" s="38"/>
      <c r="H76" s="38"/>
      <c r="I76" s="277">
        <f t="shared" si="47"/>
        <v>0</v>
      </c>
      <c r="J76" s="278">
        <f t="shared" si="48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118410</v>
      </c>
      <c r="U76" s="277">
        <f t="shared" si="49"/>
        <v>80.078999999999994</v>
      </c>
      <c r="V76" s="278">
        <f t="shared" si="50"/>
        <v>118.41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64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65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66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67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topLeftCell="B1" zoomScale="99" zoomScaleNormal="99" workbookViewId="0">
      <selection activeCell="O4" sqref="O4"/>
    </sheetView>
  </sheetViews>
  <sheetFormatPr defaultColWidth="9.1796875" defaultRowHeight="14.5"/>
  <cols>
    <col min="1" max="1" width="41.54296875" style="4" bestFit="1" customWidth="1"/>
    <col min="2" max="2" width="32.81640625" style="4" bestFit="1" customWidth="1"/>
    <col min="3" max="3" width="11.453125" style="4" customWidth="1"/>
    <col min="4" max="4" width="10.81640625" style="4" customWidth="1"/>
    <col min="5" max="5" width="11.81640625" style="4" customWidth="1"/>
    <col min="6" max="6" width="11" style="4" customWidth="1"/>
    <col min="7" max="7" width="11.1796875" style="4" customWidth="1"/>
    <col min="8" max="8" width="11.453125" style="4" customWidth="1"/>
    <col min="9" max="10" width="11.1796875" style="4" customWidth="1"/>
    <col min="11" max="11" width="11.54296875" style="4" customWidth="1"/>
    <col min="12" max="13" width="11.1796875" style="4" customWidth="1"/>
    <col min="17" max="17" width="11.453125" bestFit="1" customWidth="1"/>
  </cols>
  <sheetData>
    <row r="1" spans="1:17" ht="119.5" customHeight="1" thickBot="1"/>
    <row r="2" spans="1:17" ht="15.75" customHeight="1" thickBot="1">
      <c r="A2" s="327" t="s">
        <v>318</v>
      </c>
      <c r="B2" s="328"/>
      <c r="C2" s="361">
        <v>2011</v>
      </c>
      <c r="D2" s="361">
        <v>2012</v>
      </c>
      <c r="E2" s="361">
        <v>2013</v>
      </c>
      <c r="F2" s="361">
        <v>2014</v>
      </c>
      <c r="G2" s="361">
        <v>2015</v>
      </c>
      <c r="H2" s="361">
        <v>2016</v>
      </c>
      <c r="I2" s="361">
        <v>2017</v>
      </c>
      <c r="J2" s="361">
        <v>2018</v>
      </c>
      <c r="K2" s="361">
        <v>2019</v>
      </c>
      <c r="L2" s="361">
        <v>2020</v>
      </c>
      <c r="M2" s="361">
        <v>2021</v>
      </c>
      <c r="N2" s="1">
        <v>2022</v>
      </c>
      <c r="O2" s="1">
        <v>2023</v>
      </c>
    </row>
    <row r="3" spans="1:17" ht="15.75" customHeight="1">
      <c r="A3" s="329" t="s">
        <v>406</v>
      </c>
      <c r="B3" s="313"/>
      <c r="C3" s="362">
        <v>319857</v>
      </c>
      <c r="D3" s="363">
        <v>377133</v>
      </c>
      <c r="E3" s="363">
        <v>522864.00000000006</v>
      </c>
      <c r="F3" s="364">
        <v>501556</v>
      </c>
      <c r="G3" s="364">
        <v>491434</v>
      </c>
      <c r="H3" s="365">
        <v>443621.99999999994</v>
      </c>
      <c r="I3" s="364">
        <v>412361</v>
      </c>
      <c r="J3" s="364">
        <v>363499.73664000002</v>
      </c>
      <c r="K3" s="364">
        <v>378366.44312000007</v>
      </c>
      <c r="L3" s="364">
        <v>285105.17800999974</v>
      </c>
      <c r="M3" s="385">
        <v>350920.30887999985</v>
      </c>
      <c r="N3" s="23">
        <v>400492.21608000016</v>
      </c>
      <c r="O3" s="23">
        <v>395830.8989400001</v>
      </c>
    </row>
    <row r="4" spans="1:17" ht="15.75" customHeight="1">
      <c r="A4" s="331" t="s">
        <v>407</v>
      </c>
      <c r="B4" s="331"/>
      <c r="C4" s="366">
        <v>-11633</v>
      </c>
      <c r="D4" s="366">
        <v>-9958.2513770875557</v>
      </c>
      <c r="E4" s="366">
        <v>-14437.999999999904</v>
      </c>
      <c r="F4" s="23">
        <v>-17795</v>
      </c>
      <c r="G4" s="23">
        <v>-22046</v>
      </c>
      <c r="H4" s="366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330" t="s">
        <v>408</v>
      </c>
      <c r="B5" s="331"/>
      <c r="C5" s="365">
        <v>-47935</v>
      </c>
      <c r="D5" s="365">
        <v>-55935.611050000007</v>
      </c>
      <c r="E5" s="365">
        <v>-76839</v>
      </c>
      <c r="F5" s="364">
        <v>-72963</v>
      </c>
      <c r="G5" s="364">
        <v>-75586</v>
      </c>
      <c r="H5" s="365">
        <v>-65951.316800000001</v>
      </c>
      <c r="I5" s="364">
        <v>-61605</v>
      </c>
      <c r="J5" s="364">
        <v>-51514.476329999998</v>
      </c>
      <c r="K5" s="364">
        <v>-55731.880619999996</v>
      </c>
      <c r="L5" s="364">
        <v>-36955.979920000027</v>
      </c>
      <c r="M5" s="364">
        <v>-31144.227900000031</v>
      </c>
      <c r="N5" s="23">
        <v>-35852.520007156549</v>
      </c>
      <c r="O5" s="23">
        <v>-39207.958490926401</v>
      </c>
    </row>
    <row r="6" spans="1:17" ht="15.75" customHeight="1">
      <c r="A6" s="331" t="s">
        <v>409</v>
      </c>
      <c r="B6" s="331"/>
      <c r="C6" s="366">
        <v>1741</v>
      </c>
      <c r="D6" s="367">
        <v>1476</v>
      </c>
      <c r="E6" s="367">
        <v>2108.8207414252761</v>
      </c>
      <c r="F6" s="23">
        <v>2635</v>
      </c>
      <c r="G6" s="23">
        <v>3491</v>
      </c>
      <c r="H6" s="367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330"/>
      <c r="B7" s="331"/>
      <c r="C7" s="368"/>
      <c r="D7" s="367"/>
      <c r="E7" s="367"/>
      <c r="F7" s="369"/>
      <c r="G7" s="369"/>
      <c r="H7" s="367"/>
      <c r="I7" s="369"/>
      <c r="J7" s="369"/>
      <c r="K7" s="26"/>
      <c r="L7" s="26"/>
      <c r="M7" s="26"/>
      <c r="N7" s="24"/>
      <c r="O7" s="24"/>
    </row>
    <row r="8" spans="1:17" ht="15.75" customHeight="1">
      <c r="A8" s="314" t="s">
        <v>410</v>
      </c>
      <c r="B8" s="315"/>
      <c r="C8" s="370">
        <f>SUM(C3:C6)</f>
        <v>262030</v>
      </c>
      <c r="D8" s="370">
        <f t="shared" ref="D8:L8" si="0">SUM(D3:D6)</f>
        <v>312715.13757291244</v>
      </c>
      <c r="E8" s="370">
        <f t="shared" si="0"/>
        <v>433695.82074142544</v>
      </c>
      <c r="F8" s="370">
        <f t="shared" si="0"/>
        <v>413433</v>
      </c>
      <c r="G8" s="370">
        <f t="shared" si="0"/>
        <v>397293</v>
      </c>
      <c r="H8" s="370">
        <f t="shared" si="0"/>
        <v>360872.97414030397</v>
      </c>
      <c r="I8" s="370">
        <f t="shared" si="0"/>
        <v>340076</v>
      </c>
      <c r="J8" s="370">
        <f t="shared" si="0"/>
        <v>305696.17570524517</v>
      </c>
      <c r="K8" s="370">
        <f t="shared" si="0"/>
        <v>316226.27587170707</v>
      </c>
      <c r="L8" s="370">
        <f t="shared" si="0"/>
        <v>244607.38250886771</v>
      </c>
      <c r="M8" s="370">
        <v>314401.67791416938</v>
      </c>
      <c r="N8" s="8">
        <v>351231.59881359799</v>
      </c>
      <c r="O8" s="8">
        <v>342346.79772007267</v>
      </c>
    </row>
    <row r="9" spans="1:17" ht="15.75" customHeight="1">
      <c r="A9" s="330"/>
      <c r="B9" s="331"/>
      <c r="C9" s="367"/>
      <c r="D9" s="367"/>
      <c r="E9" s="367"/>
      <c r="F9" s="369"/>
      <c r="G9" s="369"/>
      <c r="H9" s="367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314" t="s">
        <v>2</v>
      </c>
      <c r="B10" s="315"/>
      <c r="C10" s="371">
        <v>166166</v>
      </c>
      <c r="D10" s="371">
        <v>187928</v>
      </c>
      <c r="E10" s="371">
        <v>250774</v>
      </c>
      <c r="F10" s="8">
        <v>229802</v>
      </c>
      <c r="G10" s="8">
        <v>206778</v>
      </c>
      <c r="H10" s="371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316" t="s">
        <v>4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330"/>
      <c r="B12" s="316"/>
      <c r="C12" s="367"/>
      <c r="D12" s="372"/>
      <c r="E12" s="372"/>
      <c r="F12" s="373"/>
      <c r="G12" s="42"/>
      <c r="H12" s="372"/>
      <c r="I12" s="373"/>
      <c r="J12" s="373"/>
      <c r="K12" s="372"/>
      <c r="L12" s="372"/>
      <c r="M12" s="372"/>
      <c r="N12" s="24"/>
      <c r="O12" s="24"/>
    </row>
    <row r="13" spans="1:17" ht="15.75" customHeight="1">
      <c r="A13" s="314" t="s">
        <v>51</v>
      </c>
      <c r="B13" s="315"/>
      <c r="C13" s="371">
        <v>-69788</v>
      </c>
      <c r="D13" s="371">
        <v>-87861</v>
      </c>
      <c r="E13" s="371">
        <v>-132846</v>
      </c>
      <c r="F13" s="8">
        <v>-118936</v>
      </c>
      <c r="G13" s="8">
        <v>-129581</v>
      </c>
      <c r="H13" s="371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396">
        <v>-88623</v>
      </c>
      <c r="P13" s="388"/>
      <c r="Q13" s="387"/>
    </row>
    <row r="14" spans="1:17" ht="15.75" customHeight="1">
      <c r="A14" s="314" t="s">
        <v>411</v>
      </c>
      <c r="B14" s="315"/>
      <c r="C14" s="371"/>
      <c r="D14" s="371"/>
      <c r="E14" s="371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396">
        <v>0</v>
      </c>
      <c r="Q14" s="360"/>
    </row>
    <row r="15" spans="1:17" ht="179.5" hidden="1" customHeight="1">
      <c r="A15" s="314" t="s">
        <v>412</v>
      </c>
      <c r="B15" s="315"/>
      <c r="C15" s="371"/>
      <c r="D15" s="371"/>
      <c r="E15" s="371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60"/>
    </row>
    <row r="16" spans="1:17">
      <c r="A16" s="317" t="s">
        <v>413</v>
      </c>
      <c r="B16" s="317"/>
      <c r="C16" s="374">
        <v>-0.2663359157348395</v>
      </c>
      <c r="D16" s="374">
        <v>-0.28096177461033334</v>
      </c>
      <c r="E16" s="374">
        <v>-0.30631145989115816</v>
      </c>
      <c r="F16" s="374">
        <v>-0.28767901933324136</v>
      </c>
      <c r="G16" s="374">
        <v>-0.32615978635415172</v>
      </c>
      <c r="H16" s="374">
        <v>0.34386337823057539</v>
      </c>
      <c r="I16" s="374">
        <f>I13/I8</f>
        <v>-0.39013632246909513</v>
      </c>
      <c r="J16" s="374">
        <v>-0.37142106779077982</v>
      </c>
      <c r="K16" s="374">
        <v>-0.34047592695074708</v>
      </c>
      <c r="L16" s="374">
        <v>-0.32003172435784749</v>
      </c>
      <c r="M16" s="374">
        <v>-0.22330987692491522</v>
      </c>
      <c r="N16" s="10">
        <v>-0.23979903939309011</v>
      </c>
      <c r="O16" s="10">
        <v>-0.25886907834454037</v>
      </c>
      <c r="Q16" s="360"/>
    </row>
    <row r="17" spans="1:17">
      <c r="A17" s="330"/>
      <c r="B17" s="331"/>
      <c r="C17" s="367"/>
      <c r="D17" s="367"/>
      <c r="E17" s="367"/>
      <c r="F17" s="369"/>
      <c r="G17" s="43"/>
      <c r="H17" s="25"/>
      <c r="I17" s="369"/>
      <c r="J17" s="369"/>
      <c r="K17" s="25"/>
      <c r="L17" s="25"/>
      <c r="M17" s="25"/>
      <c r="N17" s="24"/>
      <c r="O17" s="24"/>
      <c r="Q17" s="360"/>
    </row>
    <row r="18" spans="1:17">
      <c r="A18" s="314" t="s">
        <v>414</v>
      </c>
      <c r="B18" s="315"/>
      <c r="C18" s="371">
        <v>-24415</v>
      </c>
      <c r="D18" s="371">
        <v>-27788</v>
      </c>
      <c r="E18" s="371">
        <v>-40504</v>
      </c>
      <c r="F18" s="8">
        <v>-33902</v>
      </c>
      <c r="G18" s="8">
        <v>-36416</v>
      </c>
      <c r="H18" s="371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396">
        <v>-41299</v>
      </c>
      <c r="P18" s="298"/>
      <c r="Q18" s="103"/>
    </row>
    <row r="19" spans="1:17">
      <c r="A19" s="317" t="s">
        <v>413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330"/>
      <c r="B20" s="331"/>
      <c r="C20" s="367"/>
      <c r="D20" s="367"/>
      <c r="E20" s="367"/>
      <c r="F20" s="369"/>
      <c r="G20" s="43"/>
      <c r="H20" s="367"/>
      <c r="I20" s="369"/>
      <c r="J20" s="369"/>
      <c r="K20" s="369"/>
      <c r="L20" s="369"/>
      <c r="M20" s="369"/>
      <c r="N20" s="24"/>
      <c r="O20" s="24"/>
      <c r="P20" s="298"/>
      <c r="Q20" s="103"/>
    </row>
    <row r="21" spans="1:17">
      <c r="A21" s="314" t="s">
        <v>415</v>
      </c>
      <c r="B21" s="315"/>
      <c r="C21" s="371">
        <v>26537</v>
      </c>
      <c r="D21" s="371">
        <v>-7520</v>
      </c>
      <c r="E21" s="371">
        <v>-28934</v>
      </c>
      <c r="F21" s="8">
        <v>-11784</v>
      </c>
      <c r="G21" s="8">
        <v>-9126</v>
      </c>
      <c r="H21" s="371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396">
        <v>2257</v>
      </c>
    </row>
    <row r="22" spans="1:17">
      <c r="A22" s="330"/>
      <c r="B22" s="331"/>
      <c r="C22" s="367"/>
      <c r="D22" s="367"/>
      <c r="E22" s="367"/>
      <c r="F22" s="369"/>
      <c r="G22" s="41"/>
      <c r="H22" s="367"/>
      <c r="I22" s="369"/>
      <c r="J22" s="369"/>
      <c r="K22" s="369"/>
      <c r="L22" s="369"/>
      <c r="M22" s="369"/>
      <c r="N22" s="24"/>
      <c r="O22" s="24"/>
    </row>
    <row r="23" spans="1:17">
      <c r="A23" s="330" t="s">
        <v>416</v>
      </c>
      <c r="B23" s="331"/>
      <c r="C23" s="375">
        <f>C10+C13+C18+C21+C14+C15</f>
        <v>98500</v>
      </c>
      <c r="D23" s="375">
        <f t="shared" ref="D23:L23" si="2">D10+D13+D18+D21+D14+D15</f>
        <v>64759</v>
      </c>
      <c r="E23" s="375">
        <f t="shared" si="2"/>
        <v>48490</v>
      </c>
      <c r="F23" s="375">
        <f t="shared" si="2"/>
        <v>65180</v>
      </c>
      <c r="G23" s="375">
        <f t="shared" si="2"/>
        <v>31655</v>
      </c>
      <c r="H23" s="375">
        <f t="shared" si="2"/>
        <v>8544.9741403039661</v>
      </c>
      <c r="I23" s="375">
        <f t="shared" si="2"/>
        <v>-12773.390136322469</v>
      </c>
      <c r="J23" s="375">
        <f t="shared" si="2"/>
        <v>-2901.8242947548279</v>
      </c>
      <c r="K23" s="375">
        <f t="shared" si="2"/>
        <v>-126645</v>
      </c>
      <c r="L23" s="375">
        <f t="shared" si="2"/>
        <v>-9616</v>
      </c>
      <c r="M23" s="375">
        <v>50648.677914169384</v>
      </c>
      <c r="N23" s="23">
        <v>55601.036335421901</v>
      </c>
      <c r="O23" s="23">
        <v>61715.197720072669</v>
      </c>
    </row>
    <row r="24" spans="1:17">
      <c r="A24" s="330"/>
      <c r="B24" s="331"/>
      <c r="C24" s="367"/>
      <c r="D24" s="367"/>
      <c r="E24" s="367"/>
      <c r="F24" s="369"/>
      <c r="G24" s="44"/>
      <c r="H24" s="367"/>
      <c r="I24" s="369"/>
      <c r="J24" s="369"/>
      <c r="K24" s="369"/>
      <c r="L24" s="369"/>
      <c r="M24" s="369"/>
      <c r="N24" s="24"/>
      <c r="O24" s="24"/>
    </row>
    <row r="25" spans="1:17">
      <c r="A25" s="315" t="s">
        <v>417</v>
      </c>
      <c r="B25" s="315"/>
      <c r="C25" s="371">
        <v>-9288</v>
      </c>
      <c r="D25" s="371">
        <v>-3374</v>
      </c>
      <c r="E25" s="371">
        <v>-29310</v>
      </c>
      <c r="F25" s="8">
        <v>-40566</v>
      </c>
      <c r="G25" s="8">
        <v>-58084</v>
      </c>
      <c r="H25" s="371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396">
        <v>-27125</v>
      </c>
    </row>
    <row r="26" spans="1:17">
      <c r="A26" s="315" t="s">
        <v>418</v>
      </c>
      <c r="B26" s="315"/>
      <c r="C26" s="371">
        <v>16592</v>
      </c>
      <c r="D26" s="371">
        <v>20034</v>
      </c>
      <c r="E26" s="371">
        <v>23764</v>
      </c>
      <c r="F26" s="8">
        <v>30667</v>
      </c>
      <c r="G26" s="8">
        <v>57485</v>
      </c>
      <c r="H26" s="371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396">
        <v>30641</v>
      </c>
    </row>
    <row r="27" spans="1:17">
      <c r="A27" s="314" t="s">
        <v>419</v>
      </c>
      <c r="B27" s="315"/>
      <c r="C27" s="371">
        <f>SUM(C25:C26)</f>
        <v>7304</v>
      </c>
      <c r="D27" s="371">
        <f t="shared" ref="D27:L27" si="3">SUM(D25:D26)</f>
        <v>16660</v>
      </c>
      <c r="E27" s="371">
        <f t="shared" si="3"/>
        <v>-5546</v>
      </c>
      <c r="F27" s="371">
        <f t="shared" si="3"/>
        <v>-9899</v>
      </c>
      <c r="G27" s="371">
        <f t="shared" si="3"/>
        <v>-599</v>
      </c>
      <c r="H27" s="371">
        <f t="shared" si="3"/>
        <v>-6690</v>
      </c>
      <c r="I27" s="371">
        <f t="shared" si="3"/>
        <v>-2499</v>
      </c>
      <c r="J27" s="371">
        <f t="shared" si="3"/>
        <v>4249</v>
      </c>
      <c r="K27" s="371">
        <f t="shared" si="3"/>
        <v>-5183</v>
      </c>
      <c r="L27" s="371">
        <f t="shared" si="3"/>
        <v>-24308</v>
      </c>
      <c r="M27" s="371">
        <v>-15031</v>
      </c>
      <c r="N27" s="8">
        <v>-9971</v>
      </c>
      <c r="O27" s="8">
        <v>3516</v>
      </c>
    </row>
    <row r="28" spans="1:17">
      <c r="A28" s="330"/>
      <c r="B28" s="331"/>
      <c r="C28" s="367"/>
      <c r="D28" s="367"/>
      <c r="E28" s="367"/>
      <c r="F28" s="376"/>
      <c r="G28" s="41"/>
      <c r="H28" s="367"/>
      <c r="I28" s="376"/>
      <c r="J28" s="376"/>
      <c r="K28" s="376"/>
      <c r="L28" s="376"/>
      <c r="M28" s="376"/>
      <c r="N28" s="86"/>
      <c r="O28" s="86"/>
    </row>
    <row r="29" spans="1:17">
      <c r="A29" s="330" t="s">
        <v>420</v>
      </c>
      <c r="B29" s="331"/>
      <c r="C29" s="367">
        <f>C23+C27</f>
        <v>105804</v>
      </c>
      <c r="D29" s="367">
        <f t="shared" ref="D29:L29" si="4">D23+D27</f>
        <v>81419</v>
      </c>
      <c r="E29" s="367">
        <f t="shared" si="4"/>
        <v>42944</v>
      </c>
      <c r="F29" s="367">
        <f t="shared" si="4"/>
        <v>55281</v>
      </c>
      <c r="G29" s="367">
        <f t="shared" si="4"/>
        <v>31056</v>
      </c>
      <c r="H29" s="367">
        <f t="shared" si="4"/>
        <v>1854.9741403039661</v>
      </c>
      <c r="I29" s="367">
        <f t="shared" si="4"/>
        <v>-15272.390136322469</v>
      </c>
      <c r="J29" s="367">
        <f t="shared" si="4"/>
        <v>1347.1757052451721</v>
      </c>
      <c r="K29" s="367">
        <f t="shared" si="4"/>
        <v>-131828</v>
      </c>
      <c r="L29" s="367">
        <f t="shared" si="4"/>
        <v>-33924</v>
      </c>
      <c r="M29" s="367">
        <v>35617.677914169384</v>
      </c>
      <c r="N29" s="23">
        <v>45630.036335421901</v>
      </c>
      <c r="O29" s="23">
        <v>65231.197720072669</v>
      </c>
    </row>
    <row r="30" spans="1:17">
      <c r="A30" s="330"/>
      <c r="B30" s="331"/>
      <c r="C30" s="367"/>
      <c r="D30" s="367"/>
      <c r="E30" s="367"/>
      <c r="F30" s="23"/>
      <c r="G30" s="23"/>
      <c r="H30" s="367"/>
      <c r="I30" s="23">
        <v>0</v>
      </c>
      <c r="J30" s="23"/>
      <c r="K30" s="23"/>
      <c r="L30" s="23"/>
      <c r="M30" s="23"/>
      <c r="N30" s="23"/>
      <c r="O30" s="23"/>
    </row>
    <row r="31" spans="1:17">
      <c r="A31" s="331" t="s">
        <v>421</v>
      </c>
      <c r="B31" s="331"/>
      <c r="C31" s="367">
        <v>-5992</v>
      </c>
      <c r="D31" s="367">
        <v>-6459</v>
      </c>
      <c r="E31" s="367">
        <v>-7244</v>
      </c>
      <c r="F31" s="23">
        <v>-7146</v>
      </c>
      <c r="G31" s="23">
        <v>-7223</v>
      </c>
      <c r="H31" s="367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331" t="s">
        <v>422</v>
      </c>
      <c r="B32" s="331"/>
      <c r="C32" s="367">
        <v>-10855</v>
      </c>
      <c r="D32" s="367">
        <v>-11196</v>
      </c>
      <c r="E32" s="367">
        <v>-4178</v>
      </c>
      <c r="F32" s="23">
        <v>-1907</v>
      </c>
      <c r="G32" s="23">
        <v>-1818</v>
      </c>
      <c r="H32" s="367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314" t="s">
        <v>423</v>
      </c>
      <c r="B33" s="315"/>
      <c r="C33" s="371">
        <f>SUM(C31:C32)</f>
        <v>-16847</v>
      </c>
      <c r="D33" s="371">
        <f t="shared" ref="D33:L33" si="5">SUM(D31:D32)</f>
        <v>-17655</v>
      </c>
      <c r="E33" s="371">
        <f t="shared" si="5"/>
        <v>-11422</v>
      </c>
      <c r="F33" s="371">
        <f t="shared" si="5"/>
        <v>-9053</v>
      </c>
      <c r="G33" s="371">
        <f t="shared" si="5"/>
        <v>-9041</v>
      </c>
      <c r="H33" s="371">
        <f t="shared" si="5"/>
        <v>-3791</v>
      </c>
      <c r="I33" s="371">
        <f t="shared" si="5"/>
        <v>3188</v>
      </c>
      <c r="J33" s="371">
        <f t="shared" si="5"/>
        <v>13022</v>
      </c>
      <c r="K33" s="371">
        <f t="shared" si="5"/>
        <v>9174</v>
      </c>
      <c r="L33" s="371">
        <f t="shared" si="5"/>
        <v>5761</v>
      </c>
      <c r="M33" s="371">
        <v>-7537</v>
      </c>
      <c r="N33" s="8">
        <v>-5707</v>
      </c>
      <c r="O33" s="8">
        <v>-9019</v>
      </c>
    </row>
    <row r="34" spans="1:15">
      <c r="A34" s="330"/>
      <c r="B34" s="331"/>
      <c r="C34" s="367"/>
      <c r="D34" s="367"/>
      <c r="E34" s="367"/>
      <c r="F34" s="369"/>
      <c r="G34" s="7"/>
      <c r="H34" s="367"/>
      <c r="I34" s="369"/>
      <c r="J34" s="369"/>
      <c r="K34" s="369"/>
      <c r="L34" s="369"/>
      <c r="M34" s="369"/>
      <c r="N34" s="24"/>
      <c r="O34" s="24"/>
    </row>
    <row r="35" spans="1:15">
      <c r="A35" s="314" t="s">
        <v>424</v>
      </c>
      <c r="B35" s="315"/>
      <c r="C35" s="371">
        <f>C29+C33</f>
        <v>88957</v>
      </c>
      <c r="D35" s="371">
        <f t="shared" ref="D35:L35" si="6">D29+D33</f>
        <v>63764</v>
      </c>
      <c r="E35" s="371">
        <f t="shared" si="6"/>
        <v>31522</v>
      </c>
      <c r="F35" s="371">
        <f t="shared" si="6"/>
        <v>46228</v>
      </c>
      <c r="G35" s="371">
        <f t="shared" si="6"/>
        <v>22015</v>
      </c>
      <c r="H35" s="371">
        <f t="shared" si="6"/>
        <v>-1936.0258596960339</v>
      </c>
      <c r="I35" s="371">
        <f t="shared" si="6"/>
        <v>-12084.390136322469</v>
      </c>
      <c r="J35" s="371">
        <f t="shared" si="6"/>
        <v>14369.175705245172</v>
      </c>
      <c r="K35" s="371">
        <f t="shared" si="6"/>
        <v>-122654</v>
      </c>
      <c r="L35" s="371">
        <f t="shared" si="6"/>
        <v>-28163</v>
      </c>
      <c r="M35" s="371">
        <v>28080.677914169384</v>
      </c>
      <c r="N35" s="8">
        <v>39923.036335421901</v>
      </c>
      <c r="O35" s="8">
        <v>56212.197720072669</v>
      </c>
    </row>
    <row r="36" spans="1:15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330"/>
      <c r="B37" s="331"/>
      <c r="C37" s="369"/>
      <c r="D37" s="369"/>
      <c r="E37" s="369"/>
      <c r="F37" s="369"/>
      <c r="G37" s="369"/>
      <c r="H37" s="377"/>
      <c r="I37" s="369"/>
      <c r="J37" s="369"/>
      <c r="K37" s="369"/>
      <c r="L37" s="369"/>
      <c r="M37" s="369"/>
      <c r="N37" s="24"/>
      <c r="O37" s="24"/>
    </row>
    <row r="38" spans="1:15">
      <c r="A38" s="329" t="s">
        <v>3</v>
      </c>
      <c r="B38" s="320"/>
      <c r="C38" s="378">
        <v>-3147</v>
      </c>
      <c r="D38" s="379">
        <v>-5425</v>
      </c>
      <c r="E38" s="379">
        <v>-9599</v>
      </c>
      <c r="F38" s="23">
        <v>-13148.34042</v>
      </c>
      <c r="G38" s="23">
        <v>-14029</v>
      </c>
      <c r="H38" s="379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329" t="s">
        <v>425</v>
      </c>
      <c r="B39" s="320"/>
      <c r="C39" s="378">
        <v>7189</v>
      </c>
      <c r="D39" s="379">
        <v>11074</v>
      </c>
      <c r="E39" s="379">
        <v>13116</v>
      </c>
      <c r="F39" s="23">
        <v>16594.183259999998</v>
      </c>
      <c r="G39" s="23">
        <v>39829.427649999998</v>
      </c>
      <c r="H39" s="379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329" t="s">
        <v>426</v>
      </c>
      <c r="B40" s="320"/>
      <c r="C40" s="378">
        <v>9403</v>
      </c>
      <c r="D40" s="378">
        <v>8960</v>
      </c>
      <c r="E40" s="378">
        <v>10648.179258574701</v>
      </c>
      <c r="F40" s="23">
        <v>14081.99249759946</v>
      </c>
      <c r="G40" s="23">
        <v>17594.58786</v>
      </c>
      <c r="H40" s="379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329" t="s">
        <v>417</v>
      </c>
      <c r="B41" s="320"/>
      <c r="C41" s="378">
        <v>-9288</v>
      </c>
      <c r="D41" s="378">
        <v>-3374</v>
      </c>
      <c r="E41" s="378">
        <v>-29310</v>
      </c>
      <c r="F41" s="23">
        <v>-40568.457139999999</v>
      </c>
      <c r="G41" s="23">
        <v>-58735.880399999995</v>
      </c>
      <c r="H41" s="379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329" t="s">
        <v>427</v>
      </c>
      <c r="B42" s="320"/>
      <c r="C42" s="379">
        <v>-2070</v>
      </c>
      <c r="D42" s="380">
        <v>-6459</v>
      </c>
      <c r="E42" s="380">
        <v>-7106.2640999999985</v>
      </c>
      <c r="F42" s="23">
        <v>-7079.9619980000007</v>
      </c>
      <c r="G42" s="23">
        <v>-7222.3714499999996</v>
      </c>
      <c r="H42" s="379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329" t="s">
        <v>428</v>
      </c>
      <c r="B43" s="320"/>
      <c r="C43" s="378">
        <v>-10855</v>
      </c>
      <c r="D43" s="378">
        <v>-11196</v>
      </c>
      <c r="E43" s="378">
        <v>-4178</v>
      </c>
      <c r="F43" s="23">
        <v>-1908.3374199999998</v>
      </c>
      <c r="G43" s="23">
        <v>-1818.1681300000002</v>
      </c>
      <c r="H43" s="379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314" t="s">
        <v>53</v>
      </c>
      <c r="B44" s="315"/>
      <c r="C44" s="371">
        <f>C35-SUM(C38:C43)</f>
        <v>97725</v>
      </c>
      <c r="D44" s="371">
        <f t="shared" ref="D44:L44" si="7">D35-SUM(D38:D43)</f>
        <v>70184</v>
      </c>
      <c r="E44" s="371">
        <f t="shared" si="7"/>
        <v>57951.084841425298</v>
      </c>
      <c r="F44" s="371">
        <f t="shared" si="7"/>
        <v>78256.921220400545</v>
      </c>
      <c r="G44" s="371">
        <f t="shared" si="7"/>
        <v>46396.404469999994</v>
      </c>
      <c r="H44" s="371">
        <f t="shared" si="7"/>
        <v>22959.628080100942</v>
      </c>
      <c r="I44" s="371">
        <f t="shared" si="7"/>
        <v>140.88288430401917</v>
      </c>
      <c r="J44" s="371">
        <f t="shared" si="7"/>
        <v>8375.8018714157861</v>
      </c>
      <c r="K44" s="371">
        <f t="shared" si="7"/>
        <v>-114404.52688279217</v>
      </c>
      <c r="L44" s="371">
        <f t="shared" si="7"/>
        <v>1433</v>
      </c>
      <c r="M44" s="371">
        <v>59518.578614169382</v>
      </c>
      <c r="N44" s="8">
        <v>65351.278079266805</v>
      </c>
      <c r="O44" s="8">
        <v>71294.746432698041</v>
      </c>
    </row>
    <row r="45" spans="1:15">
      <c r="A45" s="346" t="s">
        <v>429</v>
      </c>
      <c r="B45" s="349"/>
      <c r="C45" s="381">
        <v>22621</v>
      </c>
      <c r="D45" s="381">
        <v>1706.677077851524</v>
      </c>
      <c r="E45" s="381">
        <v>-799.577</v>
      </c>
      <c r="F45" s="23">
        <v>-1206.526360097015</v>
      </c>
      <c r="G45" s="23">
        <v>-63.302908076515223</v>
      </c>
      <c r="H45" s="381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347" t="s">
        <v>430</v>
      </c>
      <c r="B46" s="348"/>
      <c r="C46" s="381">
        <v>7150</v>
      </c>
      <c r="D46" s="381">
        <v>-1159.8243400000001</v>
      </c>
      <c r="E46" s="381">
        <v>-11678.14939</v>
      </c>
      <c r="F46" s="23">
        <v>1037.0412756000001</v>
      </c>
      <c r="G46" s="23">
        <v>-19758.476630000001</v>
      </c>
      <c r="H46" s="381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347" t="s">
        <v>431</v>
      </c>
      <c r="B47" s="348"/>
      <c r="C47" s="378">
        <v>0</v>
      </c>
      <c r="D47" s="381">
        <v>0</v>
      </c>
      <c r="E47" s="378">
        <v>-743.67</v>
      </c>
      <c r="F47" s="23">
        <v>-1509.1870000000001</v>
      </c>
      <c r="G47" s="23">
        <v>5375.1013999999996</v>
      </c>
      <c r="H47" s="381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347" t="s">
        <v>432</v>
      </c>
      <c r="B48" s="348"/>
      <c r="C48" s="378">
        <v>0</v>
      </c>
      <c r="D48" s="381">
        <v>0</v>
      </c>
      <c r="E48" s="378">
        <v>-4554.58554</v>
      </c>
      <c r="F48" s="23">
        <v>-2635.1899100000001</v>
      </c>
      <c r="G48" s="23">
        <v>-771.45402000000001</v>
      </c>
      <c r="H48" s="381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329" t="s">
        <v>433</v>
      </c>
      <c r="B49" s="320"/>
      <c r="C49" s="378">
        <v>-877</v>
      </c>
      <c r="D49" s="381">
        <v>0</v>
      </c>
      <c r="E49" s="378">
        <v>0</v>
      </c>
      <c r="F49" s="23">
        <v>0</v>
      </c>
      <c r="G49" s="23">
        <v>0</v>
      </c>
      <c r="H49" s="381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347" t="s">
        <v>434</v>
      </c>
      <c r="B50" s="348"/>
      <c r="C50" s="378">
        <v>-9892</v>
      </c>
      <c r="D50" s="381">
        <v>-2424.9584500000001</v>
      </c>
      <c r="E50" s="378">
        <v>-6241.5990000000002</v>
      </c>
      <c r="F50" s="23">
        <v>-3830.0338200000001</v>
      </c>
      <c r="G50" s="23">
        <v>-4099.9849999999997</v>
      </c>
      <c r="H50" s="381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347" t="s">
        <v>435</v>
      </c>
      <c r="B51" s="350"/>
      <c r="C51" s="382">
        <v>0</v>
      </c>
      <c r="D51" s="382">
        <v>-8482.2513770875557</v>
      </c>
      <c r="E51" s="382">
        <v>-12648.48400233217</v>
      </c>
      <c r="F51" s="23">
        <v>-15161.074877599462</v>
      </c>
      <c r="G51" s="23">
        <v>-18342.442920000001</v>
      </c>
      <c r="H51" s="383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</row>
    <row r="52" spans="1:15" ht="15" thickBot="1">
      <c r="A52" s="318" t="s">
        <v>436</v>
      </c>
      <c r="B52" s="319"/>
      <c r="C52" s="384">
        <f>C44-SUM(C45:C51)</f>
        <v>78723</v>
      </c>
      <c r="D52" s="384">
        <f>D44-SUM(D45:D51)</f>
        <v>80544.357089236029</v>
      </c>
      <c r="E52" s="384">
        <f t="shared" ref="E52:G52" si="8">E44-SUM(E45:E51)</f>
        <v>94617.149773757468</v>
      </c>
      <c r="F52" s="384">
        <f>F44-SUM(F45:F51)</f>
        <v>101561.89191249703</v>
      </c>
      <c r="G52" s="384">
        <f t="shared" si="8"/>
        <v>84056.964548076503</v>
      </c>
      <c r="H52" s="384">
        <f>H44-SUM(H45:H51)</f>
        <v>46331.677970303972</v>
      </c>
      <c r="I52" s="384">
        <f t="shared" ref="I52:L52" si="9">I44-SUM(I45:I51)</f>
        <v>22014.294035117142</v>
      </c>
      <c r="J52" s="384">
        <f t="shared" si="9"/>
        <v>7990.9613684409251</v>
      </c>
      <c r="K52" s="384">
        <f t="shared" si="9"/>
        <v>15173.008459606499</v>
      </c>
      <c r="L52" s="384">
        <f t="shared" si="9"/>
        <v>6005</v>
      </c>
      <c r="M52" s="386">
        <v>63180.4082839658</v>
      </c>
      <c r="N52" s="95">
        <v>82415.375338512458</v>
      </c>
      <c r="O52" s="95">
        <v>86722.632395882611</v>
      </c>
    </row>
    <row r="53" spans="1:15">
      <c r="A53" s="316" t="s">
        <v>437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Balanço Patrimonial</vt:lpstr>
      <vt:lpstr>Cash Flow</vt:lpstr>
      <vt:lpstr>Income Statement Hist</vt:lpstr>
      <vt:lpstr>'BP Price'!_GoBack</vt:lpstr>
      <vt:lpstr>'Balanço Patrimonial'!Area_de_impressao</vt:lpstr>
      <vt:lpstr>'Cash Flow'!Area_de_impressao</vt:lpstr>
      <vt:lpstr>'Income Statement'!Area_de_impressao</vt:lpstr>
      <vt:lpstr>'Planilha Hélio'!Area_de_impressao</vt:lpstr>
      <vt:lpstr>ATIVO</vt:lpstr>
      <vt:lpstr>DRE</vt:lpstr>
      <vt:lpstr>PASSIVO</vt:lpstr>
      <vt:lpstr>'Cash Flow'!Titulos_de_impressao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2024-11-11T21:31:10Z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